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03" windowHeight="8940"/>
  </bookViews>
  <sheets>
    <sheet name="Summary" sheetId="3" r:id="rId1"/>
    <sheet name="CID 863972" sheetId="2" r:id="rId2"/>
  </sheets>
  <externalReferences>
    <externalReference r:id="rId3"/>
    <externalReference r:id="rId4"/>
  </externalReferences>
  <definedNames>
    <definedName name="_xlnm._FilterDatabase" localSheetId="1" hidden="1">'CID 863972'!$L$2:$AA$11</definedName>
  </definedNames>
  <calcPr calcId="144525"/>
</workbook>
</file>

<file path=xl/sharedStrings.xml><?xml version="1.0" encoding="utf-8"?>
<sst xmlns="http://schemas.openxmlformats.org/spreadsheetml/2006/main" count="101" uniqueCount="70">
  <si>
    <t>DUE DATE (ETA + 90 Days )</t>
  </si>
  <si>
    <t>Chassis</t>
  </si>
  <si>
    <t>Vessel</t>
  </si>
  <si>
    <t>ETA</t>
  </si>
  <si>
    <t>Amount Due FOB JPY</t>
  </si>
  <si>
    <t>Amount Due NZD including GST</t>
  </si>
  <si>
    <t>Total Fees JPY</t>
  </si>
  <si>
    <t>Total Fees NZD</t>
  </si>
  <si>
    <t>Amount Paid</t>
  </si>
  <si>
    <t>Balance Due JPY</t>
  </si>
  <si>
    <t>Balance Due NZD</t>
  </si>
  <si>
    <t>Remarks</t>
  </si>
  <si>
    <t>ARRIVED UNITS</t>
  </si>
  <si>
    <t>Clover Ace</t>
  </si>
  <si>
    <t>WBAUE12030PC80154</t>
  </si>
  <si>
    <t xml:space="preserve">Settle your payment to JK Imports directly </t>
  </si>
  <si>
    <t>Glovis Clipper</t>
  </si>
  <si>
    <t>WAUZZZ8E18A004868</t>
  </si>
  <si>
    <t>WBANU520X0CZ86833</t>
  </si>
  <si>
    <t>ZNE10-0284623</t>
  </si>
  <si>
    <t>Wisdom Ace</t>
  </si>
  <si>
    <t>KG11-031290</t>
  </si>
  <si>
    <t>Remit to IBC directly</t>
  </si>
  <si>
    <t>CID 863972 Total Due as of August 22, 2019</t>
  </si>
  <si>
    <t>UNPAID UNRELEASED</t>
  </si>
  <si>
    <t>ETA + 90 days</t>
  </si>
  <si>
    <t>ETA + 90 Days</t>
  </si>
  <si>
    <t>Date Arrive</t>
  </si>
  <si>
    <t>AGE FROM DATE ARRIVED</t>
  </si>
  <si>
    <t>ADMIN FEE NZD</t>
  </si>
  <si>
    <t>ADMIN FEE JPY</t>
  </si>
  <si>
    <t>INTEREST FEE 7.5% NZD</t>
  </si>
  <si>
    <t>INTEREST FEE 7.5% JPY</t>
  </si>
  <si>
    <t>TOTAL FEES NZD</t>
  </si>
  <si>
    <t>TOTAL FEES JPY</t>
  </si>
  <si>
    <t>BL Status</t>
  </si>
  <si>
    <t>Year</t>
  </si>
  <si>
    <t>Make/Model</t>
  </si>
  <si>
    <t>Origin</t>
  </si>
  <si>
    <t>Purchaser</t>
  </si>
  <si>
    <t>Sold Thru</t>
  </si>
  <si>
    <t>Total FOB JPY</t>
  </si>
  <si>
    <t>Amount NZD</t>
  </si>
  <si>
    <t>NZD Including GST</t>
  </si>
  <si>
    <t>OFS Fee</t>
  </si>
  <si>
    <t>Ship Name</t>
  </si>
  <si>
    <t>Date Ship</t>
  </si>
  <si>
    <t>Date Confirmed</t>
  </si>
  <si>
    <t>Date OK Booked</t>
  </si>
  <si>
    <t xml:space="preserve"> Pending (days)</t>
  </si>
  <si>
    <t>OK Book Status</t>
  </si>
  <si>
    <t>Shipped</t>
  </si>
  <si>
    <t>BMW, 116I</t>
  </si>
  <si>
    <t>IBC Japan</t>
  </si>
  <si>
    <t>Noritaka Ariyama NZ</t>
  </si>
  <si>
    <t>IBC</t>
  </si>
  <si>
    <t>Clover Ace(KB)</t>
  </si>
  <si>
    <t>OK Book</t>
  </si>
  <si>
    <t>AUDI, A4</t>
  </si>
  <si>
    <t>Michelle Edgic</t>
  </si>
  <si>
    <t>Glovis Clipper(KB)</t>
  </si>
  <si>
    <t>BMW, 525I</t>
  </si>
  <si>
    <t>Bence Carol Lavezores</t>
  </si>
  <si>
    <t>Glovis Clipper(KZ)</t>
  </si>
  <si>
    <t>TOYOTA, WISH</t>
  </si>
  <si>
    <t>iDirect iDirect</t>
  </si>
  <si>
    <t>iDirect</t>
  </si>
  <si>
    <t>NISSAN, BLUEBIRD SYLPHY</t>
  </si>
  <si>
    <t>Wisdom Ace(KZ)</t>
  </si>
  <si>
    <t>TOTAL</t>
  </si>
</sst>
</file>

<file path=xl/styles.xml><?xml version="1.0" encoding="utf-8"?>
<styleSheet xmlns="http://schemas.openxmlformats.org/spreadsheetml/2006/main">
  <numFmts count="10">
    <numFmt numFmtId="176" formatCode="[$-409]d\-mmm\-yy;@"/>
    <numFmt numFmtId="177" formatCode="_(* #,##0_);_(* \(#,##0\);_(* &quot;-&quot;??_);_(@_)"/>
    <numFmt numFmtId="44" formatCode="_(&quot;$&quot;* #,##0.00_);_(&quot;$&quot;* \(#,##0.00\);_(&quot;$&quot;* &quot;-&quot;??_);_(@_)"/>
    <numFmt numFmtId="178" formatCode="_ * #,##0.00_ ;_ * \-#,##0.00_ ;_ * &quot;-&quot;??_ ;_ @_ "/>
    <numFmt numFmtId="7" formatCode="&quot;$&quot;#,##0.00_);\(&quot;$&quot;#,##0.00\)"/>
    <numFmt numFmtId="43" formatCode="_(* #,##0.00_);_(* \(#,##0.00\);_(* &quot;-&quot;??_);_(@_)"/>
    <numFmt numFmtId="179" formatCode="_ * #,##0_ ;_ * \-#,##0_ ;_ * &quot;-&quot;_ ;_ @_ "/>
    <numFmt numFmtId="42" formatCode="_(&quot;$&quot;* #,##0_);_(&quot;$&quot;* \(#,##0\);_(&quot;$&quot;* &quot;-&quot;_);_(@_)"/>
    <numFmt numFmtId="8" formatCode="&quot;$&quot;#,##0.00_);[Red]\(&quot;$&quot;#,##0.00\)"/>
    <numFmt numFmtId="180" formatCode="[$-409]dd\-mmm\-yy;@"/>
  </numFmts>
  <fonts count="41">
    <font>
      <sz val="11"/>
      <color theme="1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i/>
      <sz val="9"/>
      <color theme="0"/>
      <name val="Arial"/>
      <charset val="134"/>
    </font>
    <font>
      <b/>
      <sz val="9"/>
      <color theme="0"/>
      <name val="Arial"/>
      <charset val="134"/>
    </font>
    <font>
      <i/>
      <sz val="9"/>
      <color rgb="FFFF0000"/>
      <name val="Arial"/>
      <charset val="134"/>
    </font>
    <font>
      <i/>
      <sz val="9"/>
      <color indexed="9"/>
      <name val="Arial"/>
      <charset val="134"/>
    </font>
    <font>
      <sz val="11"/>
      <name val="Calibri"/>
      <charset val="134"/>
      <scheme val="minor"/>
    </font>
    <font>
      <b/>
      <i/>
      <sz val="9"/>
      <color rgb="FFFF0000"/>
      <name val="Arial"/>
      <charset val="134"/>
    </font>
    <font>
      <b/>
      <i/>
      <sz val="9"/>
      <color indexed="9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b/>
      <sz val="9"/>
      <name val="Arial"/>
      <charset val="134"/>
    </font>
    <font>
      <b/>
      <i/>
      <sz val="9"/>
      <name val="Arial"/>
      <charset val="134"/>
    </font>
    <font>
      <b/>
      <sz val="9"/>
      <color rgb="FF000000"/>
      <name val="Arial"/>
      <charset val="134"/>
    </font>
    <font>
      <sz val="10"/>
      <color theme="1"/>
      <name val="Times New Roman"/>
      <charset val="134"/>
    </font>
    <font>
      <b/>
      <sz val="11"/>
      <color rgb="FFFFFFFF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0"/>
      <name val="Arial"/>
      <charset val="134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4" fontId="2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3" borderId="7" applyNumberForma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6" fillId="0" borderId="0"/>
    <xf numFmtId="0" fontId="36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23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Alignment="1">
      <alignment horizontal="center"/>
    </xf>
    <xf numFmtId="1" fontId="0" fillId="0" borderId="0" xfId="0" applyNumberForma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43" fontId="0" fillId="0" borderId="0" xfId="2" applyFont="1"/>
    <xf numFmtId="0" fontId="0" fillId="0" borderId="0" xfId="0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0" fillId="2" borderId="0" xfId="2" applyFill="1" applyAlignment="1">
      <alignment horizontal="center"/>
    </xf>
    <xf numFmtId="1" fontId="0" fillId="2" borderId="0" xfId="2" applyNumberFormat="1" applyFill="1" applyAlignment="1">
      <alignment vertical="center"/>
    </xf>
    <xf numFmtId="43" fontId="5" fillId="2" borderId="0" xfId="2" applyFont="1" applyFill="1" applyAlignment="1">
      <alignment horizontal="center"/>
    </xf>
    <xf numFmtId="43" fontId="3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Alignment="1"/>
    <xf numFmtId="43" fontId="4" fillId="4" borderId="0" xfId="2" applyFont="1" applyFill="1" applyAlignment="1">
      <alignment horizontal="center"/>
    </xf>
    <xf numFmtId="43" fontId="1" fillId="3" borderId="0" xfId="2" applyFont="1" applyFill="1" applyAlignment="1">
      <alignment horizontal="center" vertical="center"/>
    </xf>
    <xf numFmtId="43" fontId="4" fillId="4" borderId="0" xfId="2" applyFont="1" applyFill="1" applyAlignment="1">
      <alignment horizontal="center" vertical="center"/>
    </xf>
    <xf numFmtId="176" fontId="6" fillId="5" borderId="0" xfId="30" applyNumberFormat="1" applyFont="1" applyFill="1" applyAlignment="1">
      <alignment horizontal="left" vertical="center"/>
    </xf>
    <xf numFmtId="176" fontId="7" fillId="5" borderId="0" xfId="30" applyNumberFormat="1" applyFont="1" applyFill="1" applyAlignment="1">
      <alignment horizontal="center" vertical="center"/>
    </xf>
    <xf numFmtId="43" fontId="7" fillId="5" borderId="0" xfId="2" applyFont="1" applyFill="1" applyBorder="1" applyAlignment="1" applyProtection="1">
      <alignment horizontal="center" vertical="center"/>
    </xf>
    <xf numFmtId="43" fontId="8" fillId="5" borderId="0" xfId="2" applyFont="1" applyFill="1" applyAlignment="1">
      <alignment vertical="center"/>
    </xf>
    <xf numFmtId="43" fontId="9" fillId="5" borderId="0" xfId="2" applyFont="1" applyFill="1" applyAlignment="1">
      <alignment horizontal="center" vertical="center"/>
    </xf>
    <xf numFmtId="7" fontId="8" fillId="5" borderId="0" xfId="17" applyNumberFormat="1" applyFont="1" applyFill="1" applyAlignment="1">
      <alignment vertical="center"/>
    </xf>
    <xf numFmtId="7" fontId="9" fillId="5" borderId="0" xfId="17" applyNumberFormat="1" applyFont="1" applyFill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1" fontId="2" fillId="6" borderId="0" xfId="0" applyNumberFormat="1" applyFont="1" applyFill="1" applyAlignment="1"/>
    <xf numFmtId="43" fontId="5" fillId="6" borderId="0" xfId="2" applyFont="1" applyFill="1" applyAlignment="1">
      <alignment horizontal="center"/>
    </xf>
    <xf numFmtId="43" fontId="2" fillId="6" borderId="0" xfId="2" applyFont="1" applyFill="1" applyAlignment="1">
      <alignment horizontal="center" vertical="center"/>
    </xf>
    <xf numFmtId="43" fontId="5" fillId="6" borderId="0" xfId="2" applyFont="1" applyFill="1" applyAlignment="1">
      <alignment horizontal="center" vertical="center"/>
    </xf>
    <xf numFmtId="0" fontId="10" fillId="0" borderId="0" xfId="0" applyFont="1" applyFill="1"/>
    <xf numFmtId="58" fontId="10" fillId="0" borderId="0" xfId="0" applyNumberFormat="1" applyFont="1" applyFill="1" applyBorder="1" applyAlignment="1">
      <alignment horizontal="center"/>
    </xf>
    <xf numFmtId="58" fontId="0" fillId="0" borderId="0" xfId="0" applyNumberFormat="1" applyFill="1"/>
    <xf numFmtId="1" fontId="10" fillId="0" borderId="0" xfId="0" applyNumberFormat="1" applyFont="1" applyFill="1" applyAlignment="1">
      <alignment horizontal="center"/>
    </xf>
    <xf numFmtId="43" fontId="4" fillId="0" borderId="0" xfId="2" applyFont="1" applyFill="1" applyAlignment="1">
      <alignment horizontal="center"/>
    </xf>
    <xf numFmtId="43" fontId="10" fillId="0" borderId="0" xfId="2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10" fillId="0" borderId="0" xfId="0" applyFont="1"/>
    <xf numFmtId="58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3" fillId="2" borderId="0" xfId="2" applyFont="1" applyFill="1" applyAlignment="1">
      <alignment horizontal="center"/>
    </xf>
    <xf numFmtId="0" fontId="0" fillId="2" borderId="0" xfId="0" applyFill="1"/>
    <xf numFmtId="43" fontId="0" fillId="2" borderId="0" xfId="2" applyNumberFormat="1" applyFont="1" applyFill="1" applyAlignment="1"/>
    <xf numFmtId="177" fontId="0" fillId="2" borderId="0" xfId="2" applyNumberFormat="1" applyFont="1" applyFill="1" applyAlignment="1"/>
    <xf numFmtId="43" fontId="4" fillId="4" borderId="0" xfId="2" applyFont="1" applyFill="1" applyAlignment="1"/>
    <xf numFmtId="43" fontId="1" fillId="3" borderId="0" xfId="2" applyFont="1" applyFill="1" applyAlignment="1"/>
    <xf numFmtId="176" fontId="11" fillId="5" borderId="0" xfId="30" applyNumberFormat="1" applyFont="1" applyFill="1" applyAlignment="1">
      <alignment horizontal="left" vertical="center"/>
    </xf>
    <xf numFmtId="43" fontId="6" fillId="5" borderId="0" xfId="2" applyFont="1" applyFill="1" applyAlignment="1">
      <alignment horizontal="left" vertical="center"/>
    </xf>
    <xf numFmtId="177" fontId="9" fillId="5" borderId="0" xfId="46" applyNumberFormat="1" applyFont="1" applyFill="1" applyAlignment="1">
      <alignment vertical="center"/>
    </xf>
    <xf numFmtId="0" fontId="9" fillId="5" borderId="0" xfId="30" applyFont="1" applyFill="1" applyAlignment="1">
      <alignment vertical="center"/>
    </xf>
    <xf numFmtId="43" fontId="9" fillId="5" borderId="0" xfId="46" applyFont="1" applyFill="1" applyAlignment="1">
      <alignment vertical="center"/>
    </xf>
    <xf numFmtId="177" fontId="9" fillId="5" borderId="0" xfId="2" applyNumberFormat="1" applyFont="1" applyFill="1" applyAlignment="1">
      <alignment vertical="center"/>
    </xf>
    <xf numFmtId="43" fontId="5" fillId="6" borderId="0" xfId="2" applyFont="1" applyFill="1" applyAlignment="1"/>
    <xf numFmtId="43" fontId="2" fillId="6" borderId="0" xfId="2" applyFont="1" applyFill="1" applyAlignment="1"/>
    <xf numFmtId="43" fontId="4" fillId="0" borderId="0" xfId="0" applyNumberFormat="1" applyFont="1" applyFill="1"/>
    <xf numFmtId="43" fontId="10" fillId="0" borderId="0" xfId="2" applyFont="1" applyFill="1"/>
    <xf numFmtId="43" fontId="10" fillId="0" borderId="0" xfId="2" applyFont="1"/>
    <xf numFmtId="43" fontId="5" fillId="0" borderId="0" xfId="0" applyNumberFormat="1" applyFont="1"/>
    <xf numFmtId="43" fontId="3" fillId="0" borderId="0" xfId="2" applyFont="1"/>
    <xf numFmtId="58" fontId="0" fillId="2" borderId="0" xfId="0" applyNumberFormat="1" applyFill="1"/>
    <xf numFmtId="58" fontId="12" fillId="5" borderId="0" xfId="52" applyNumberFormat="1" applyFont="1" applyFill="1" applyAlignment="1">
      <alignment vertical="center"/>
    </xf>
    <xf numFmtId="58" fontId="9" fillId="5" borderId="0" xfId="17" applyNumberFormat="1" applyFont="1" applyFill="1" applyAlignment="1">
      <alignment vertical="center"/>
    </xf>
    <xf numFmtId="8" fontId="0" fillId="0" borderId="0" xfId="0" applyNumberFormat="1" applyFill="1"/>
    <xf numFmtId="8" fontId="0" fillId="0" borderId="0" xfId="0" applyNumberFormat="1" applyFill="1" applyAlignment="1">
      <alignment horizontal="center"/>
    </xf>
    <xf numFmtId="22" fontId="0" fillId="0" borderId="0" xfId="0" applyNumberFormat="1" applyFill="1"/>
    <xf numFmtId="8" fontId="0" fillId="0" borderId="0" xfId="0" applyNumberFormat="1"/>
    <xf numFmtId="8" fontId="0" fillId="0" borderId="0" xfId="0" applyNumberFormat="1" applyAlignment="1">
      <alignment horizontal="center"/>
    </xf>
    <xf numFmtId="22" fontId="0" fillId="0" borderId="0" xfId="0" applyNumberFormat="1"/>
    <xf numFmtId="7" fontId="9" fillId="0" borderId="0" xfId="17" applyNumberFormat="1" applyFont="1" applyFill="1" applyAlignment="1">
      <alignment vertical="center"/>
    </xf>
    <xf numFmtId="180" fontId="9" fillId="0" borderId="0" xfId="30" applyNumberFormat="1" applyFont="1" applyFill="1" applyAlignment="1">
      <alignment horizontal="center" vertical="center"/>
    </xf>
    <xf numFmtId="0" fontId="13" fillId="2" borderId="0" xfId="0" applyFont="1" applyFill="1" applyBorder="1"/>
    <xf numFmtId="58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178" fontId="13" fillId="2" borderId="0" xfId="53" applyFont="1" applyFill="1" applyBorder="1" applyAlignment="1"/>
    <xf numFmtId="43" fontId="13" fillId="2" borderId="0" xfId="53" applyNumberFormat="1" applyFont="1" applyFill="1" applyBorder="1" applyAlignment="1">
      <alignment horizontal="right"/>
    </xf>
    <xf numFmtId="0" fontId="13" fillId="0" borderId="0" xfId="0" applyFont="1" applyFill="1" applyBorder="1"/>
    <xf numFmtId="0" fontId="1" fillId="3" borderId="0" xfId="0" applyFont="1" applyFill="1" applyAlignment="1">
      <alignment vertical="center"/>
    </xf>
    <xf numFmtId="178" fontId="1" fillId="3" borderId="0" xfId="53" applyFont="1" applyFill="1" applyAlignment="1"/>
    <xf numFmtId="43" fontId="9" fillId="5" borderId="0" xfId="2" applyFont="1" applyFill="1" applyAlignment="1">
      <alignment vertical="center"/>
    </xf>
    <xf numFmtId="176" fontId="7" fillId="6" borderId="0" xfId="30" applyNumberFormat="1" applyFont="1" applyFill="1" applyAlignment="1">
      <alignment horizontal="center" vertical="center"/>
    </xf>
    <xf numFmtId="43" fontId="7" fillId="6" borderId="0" xfId="2" applyFont="1" applyFill="1" applyBorder="1" applyAlignment="1" applyProtection="1">
      <alignment horizontal="center" vertical="center"/>
    </xf>
    <xf numFmtId="43" fontId="9" fillId="6" borderId="0" xfId="2" applyFont="1" applyFill="1" applyAlignment="1">
      <alignment vertical="center"/>
    </xf>
    <xf numFmtId="43" fontId="9" fillId="6" borderId="0" xfId="2" applyFont="1" applyFill="1" applyAlignment="1">
      <alignment horizontal="center" vertical="center"/>
    </xf>
    <xf numFmtId="176" fontId="14" fillId="2" borderId="0" xfId="0" applyNumberFormat="1" applyFont="1" applyFill="1" applyBorder="1" applyAlignment="1">
      <alignment horizontal="left"/>
    </xf>
    <xf numFmtId="43" fontId="14" fillId="2" borderId="0" xfId="46" applyFont="1" applyFill="1" applyBorder="1" applyAlignment="1">
      <alignment horizontal="left"/>
    </xf>
    <xf numFmtId="58" fontId="14" fillId="2" borderId="0" xfId="46" applyNumberFormat="1" applyFont="1" applyFill="1" applyBorder="1" applyAlignment="1">
      <alignment horizontal="center"/>
    </xf>
    <xf numFmtId="43" fontId="14" fillId="2" borderId="0" xfId="52" applyFont="1" applyFill="1" applyBorder="1" applyAlignment="1">
      <alignment horizontal="center"/>
    </xf>
    <xf numFmtId="43" fontId="14" fillId="2" borderId="0" xfId="52" applyFont="1" applyFill="1" applyBorder="1" applyAlignment="1">
      <alignment vertical="center"/>
    </xf>
    <xf numFmtId="7" fontId="9" fillId="6" borderId="0" xfId="17" applyNumberFormat="1" applyFont="1" applyFill="1" applyAlignment="1">
      <alignment vertical="center"/>
    </xf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/>
    <xf numFmtId="58" fontId="16" fillId="4" borderId="0" xfId="0" applyNumberFormat="1" applyFont="1" applyFill="1" applyBorder="1" applyAlignment="1">
      <alignment horizontal="center"/>
    </xf>
    <xf numFmtId="43" fontId="17" fillId="4" borderId="0" xfId="0" applyNumberFormat="1" applyFont="1" applyFill="1" applyBorder="1"/>
    <xf numFmtId="43" fontId="17" fillId="4" borderId="0" xfId="0" applyNumberFormat="1" applyFont="1" applyFill="1" applyBorder="1" applyAlignment="1">
      <alignment vertical="center"/>
    </xf>
    <xf numFmtId="178" fontId="17" fillId="4" borderId="0" xfId="53" applyFont="1" applyFill="1" applyBorder="1" applyAlignment="1"/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/>
    <xf numFmtId="58" fontId="1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vertical="center"/>
    </xf>
    <xf numFmtId="0" fontId="20" fillId="7" borderId="0" xfId="0" applyFont="1" applyFill="1"/>
    <xf numFmtId="177" fontId="9" fillId="0" borderId="0" xfId="46" applyNumberFormat="1" applyFont="1" applyFill="1" applyAlignment="1">
      <alignment vertical="center"/>
    </xf>
    <xf numFmtId="0" fontId="9" fillId="0" borderId="0" xfId="30" applyFont="1" applyFill="1" applyAlignment="1">
      <alignment vertical="center"/>
    </xf>
    <xf numFmtId="43" fontId="9" fillId="0" borderId="0" xfId="46" applyFont="1" applyFill="1" applyAlignment="1">
      <alignment vertical="center"/>
    </xf>
    <xf numFmtId="176" fontId="6" fillId="6" borderId="0" xfId="30" applyNumberFormat="1" applyFont="1" applyFill="1" applyAlignment="1">
      <alignment horizontal="left" vertical="center"/>
    </xf>
    <xf numFmtId="43" fontId="14" fillId="2" borderId="0" xfId="53" applyNumberFormat="1" applyFont="1" applyFill="1" applyBorder="1" applyAlignment="1">
      <alignment horizontal="right"/>
    </xf>
    <xf numFmtId="43" fontId="17" fillId="2" borderId="0" xfId="52" applyFont="1" applyFill="1" applyBorder="1"/>
    <xf numFmtId="43" fontId="11" fillId="4" borderId="0" xfId="0" applyNumberFormat="1" applyFont="1" applyFill="1" applyBorder="1"/>
    <xf numFmtId="177" fontId="13" fillId="4" borderId="0" xfId="0" applyNumberFormat="1" applyFont="1" applyFill="1" applyBorder="1"/>
    <xf numFmtId="177" fontId="13" fillId="2" borderId="0" xfId="0" applyNumberFormat="1" applyFont="1" applyFill="1" applyBorder="1"/>
    <xf numFmtId="177" fontId="9" fillId="0" borderId="0" xfId="2" applyNumberFormat="1" applyFont="1" applyFill="1" applyAlignment="1">
      <alignment vertical="center"/>
    </xf>
    <xf numFmtId="58" fontId="12" fillId="0" borderId="0" xfId="52" applyNumberFormat="1" applyFont="1" applyFill="1" applyAlignment="1">
      <alignment vertical="center"/>
    </xf>
    <xf numFmtId="58" fontId="9" fillId="0" borderId="0" xfId="17" applyNumberFormat="1" applyFont="1" applyFill="1" applyAlignment="1">
      <alignment vertical="center"/>
    </xf>
  </cellXfs>
  <cellStyles count="54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urrency 2 2" xfId="17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Normal 4 2" xfId="30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Comma 2 2" xfId="46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Comma 10" xfId="52"/>
    <cellStyle name="Comma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rchid%20Subtrust\Downloads\AUTO%20TRADING%20-%20MR2A%20_%20paymen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Vehicle%20Direct%20863972%20CID%20863972%20as%20of%20August%2015,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ier Ace v157A"/>
      <sheetName val="Glovis Composer v73A"/>
      <sheetName val="CLOVER ACE V70"/>
      <sheetName val="GLOVIS CLIPPER V27"/>
      <sheetName val="AQUAMARINE ACE V92"/>
      <sheetName val="MERIDIAN ACE V159"/>
      <sheetName val="Orca Ace V6"/>
    </sheetNames>
    <sheetDataSet>
      <sheetData sheetId="0"/>
      <sheetData sheetId="1"/>
      <sheetData sheetId="2">
        <row r="8">
          <cell r="G8">
            <v>3995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ID 863972"/>
    </sheetNames>
    <sheetDataSet>
      <sheetData sheetId="0">
        <row r="1">
          <cell r="A1" t="str">
            <v>UNPAID UNRELEASED</v>
          </cell>
        </row>
        <row r="2">
          <cell r="A2" t="str">
            <v>Chassis</v>
          </cell>
          <cell r="B2" t="str">
            <v>DUE DATE + 90 Days</v>
          </cell>
        </row>
        <row r="3">
          <cell r="A3" t="str">
            <v>ARRIVED UNITS</v>
          </cell>
        </row>
        <row r="4">
          <cell r="A4" t="str">
            <v>K13-314256</v>
          </cell>
          <cell r="B4">
            <v>43605</v>
          </cell>
        </row>
        <row r="5">
          <cell r="A5" t="str">
            <v>WBAUE12030PC80154</v>
          </cell>
          <cell r="B5">
            <v>43605</v>
          </cell>
        </row>
        <row r="6">
          <cell r="A6" t="str">
            <v>WAUZZZ8E18A004868</v>
          </cell>
          <cell r="B6">
            <v>43623</v>
          </cell>
        </row>
        <row r="7">
          <cell r="A7" t="str">
            <v>WBANU520X0CZ86833</v>
          </cell>
          <cell r="B7">
            <v>43623</v>
          </cell>
        </row>
        <row r="8">
          <cell r="A8" t="str">
            <v>ZNE10-0284623</v>
          </cell>
          <cell r="B8">
            <v>43623</v>
          </cell>
        </row>
        <row r="9">
          <cell r="A9" t="str">
            <v>KG11-031290</v>
          </cell>
          <cell r="B9">
            <v>43681</v>
          </cell>
        </row>
        <row r="10">
          <cell r="A10" t="str">
            <v>TOTAL</v>
          </cell>
          <cell r="B10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showGridLines="0" tabSelected="1" workbookViewId="0">
      <pane ySplit="1" topLeftCell="A2" activePane="bottomLeft" state="frozen"/>
      <selection/>
      <selection pane="bottomLeft" activeCell="A13" sqref="A13"/>
    </sheetView>
  </sheetViews>
  <sheetFormatPr defaultColWidth="9.13888888888889" defaultRowHeight="13.5" customHeight="1"/>
  <cols>
    <col min="1" max="1" width="36.8518518518519" style="84" customWidth="1"/>
    <col min="2" max="2" width="21" style="84" customWidth="1"/>
    <col min="3" max="3" width="16.712962962963" style="84" customWidth="1"/>
    <col min="4" max="4" width="8.85185185185185" style="85" customWidth="1"/>
    <col min="5" max="5" width="19.712962962963" style="84" customWidth="1"/>
    <col min="6" max="6" width="29.1388888888889" style="86" customWidth="1"/>
    <col min="7" max="7" width="14.287037037037" style="87" customWidth="1"/>
    <col min="8" max="8" width="15.1388888888889" style="87" customWidth="1"/>
    <col min="9" max="9" width="12.4259259259259" style="88" customWidth="1"/>
    <col min="10" max="10" width="15.287037037037" style="84" customWidth="1"/>
    <col min="11" max="11" width="16.1388888888889" style="84" customWidth="1"/>
    <col min="12" max="12" width="53.1388888888889" style="84" customWidth="1"/>
    <col min="13" max="16384" width="9.13888888888889" style="89"/>
  </cols>
  <sheetData>
    <row r="1" ht="14.4" spans="1:16383">
      <c r="A1" s="18" t="s">
        <v>0</v>
      </c>
      <c r="B1" s="18" t="s">
        <v>1</v>
      </c>
      <c r="C1" s="18" t="s">
        <v>2</v>
      </c>
      <c r="D1" s="19" t="s">
        <v>3</v>
      </c>
      <c r="E1" s="18" t="s">
        <v>4</v>
      </c>
      <c r="F1" s="90" t="s">
        <v>5</v>
      </c>
      <c r="G1" s="91" t="s">
        <v>6</v>
      </c>
      <c r="H1" s="91" t="s">
        <v>7</v>
      </c>
      <c r="I1" s="18" t="s">
        <v>8</v>
      </c>
      <c r="J1" s="113" t="s">
        <v>9</v>
      </c>
      <c r="K1" s="113" t="s">
        <v>10</v>
      </c>
      <c r="L1" s="19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s="10" customFormat="1" ht="14.4" spans="1:40">
      <c r="A2" s="24" t="s">
        <v>12</v>
      </c>
      <c r="B2" s="25"/>
      <c r="C2" s="26"/>
      <c r="D2" s="26"/>
      <c r="E2" s="92"/>
      <c r="F2" s="92"/>
      <c r="G2" s="28"/>
      <c r="H2" s="28"/>
      <c r="I2" s="30"/>
      <c r="J2" s="30"/>
      <c r="K2" s="30"/>
      <c r="L2" s="24"/>
      <c r="M2" s="114"/>
      <c r="N2" s="114"/>
      <c r="O2" s="115"/>
      <c r="P2" s="116"/>
      <c r="Q2" s="123"/>
      <c r="R2" s="123"/>
      <c r="S2" s="115"/>
      <c r="T2" s="124"/>
      <c r="U2" s="124"/>
      <c r="V2" s="125"/>
      <c r="W2" s="125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3"/>
      <c r="AN2" s="83"/>
    </row>
    <row r="3" s="10" customFormat="1" ht="14.4" spans="1:40">
      <c r="A3" s="31" t="s">
        <v>13</v>
      </c>
      <c r="B3" s="93"/>
      <c r="C3" s="94"/>
      <c r="D3" s="94"/>
      <c r="E3" s="95"/>
      <c r="F3" s="95"/>
      <c r="G3" s="96"/>
      <c r="H3" s="96"/>
      <c r="I3" s="102"/>
      <c r="J3" s="102"/>
      <c r="K3" s="102"/>
      <c r="L3" s="117"/>
      <c r="M3" s="114"/>
      <c r="N3" s="114"/>
      <c r="O3" s="115"/>
      <c r="P3" s="116"/>
      <c r="Q3" s="123"/>
      <c r="R3" s="123"/>
      <c r="S3" s="115"/>
      <c r="T3" s="124"/>
      <c r="U3" s="124"/>
      <c r="V3" s="125"/>
      <c r="W3" s="125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3"/>
      <c r="AN3" s="83"/>
    </row>
    <row r="4" customHeight="1" spans="1:12">
      <c r="A4" s="97">
        <f>VLOOKUP(B4,'[2]CID 863972'!A:B,2,FALSE)</f>
        <v>43605</v>
      </c>
      <c r="B4" s="98" t="s">
        <v>14</v>
      </c>
      <c r="C4" s="98" t="str">
        <f ca="1">VLOOKUP(B4,'CID 863972'!A:V,22,FALSE)</f>
        <v>Clover Ace(KB)</v>
      </c>
      <c r="D4" s="99">
        <f>VLOOKUP(B4,'CID 863972'!A:C,3,FALSE)</f>
        <v>43515</v>
      </c>
      <c r="E4" s="100"/>
      <c r="F4" s="101">
        <f ca="1">VLOOKUP(B4,'CID 863972'!A:T,20,FALSE)</f>
        <v>4594.25</v>
      </c>
      <c r="G4" s="87">
        <f ca="1">VLOOKUP(B4,'CID 863972'!A:J,10,FALSE)</f>
        <v>0</v>
      </c>
      <c r="H4" s="87">
        <f ca="1">VLOOKUP(B4,'CID 863972'!A:I,9,FALSE)</f>
        <v>177.163698630137</v>
      </c>
      <c r="I4" s="118"/>
      <c r="J4" s="100"/>
      <c r="K4" s="100">
        <f ca="1" t="shared" ref="K4:K8" si="0">F4+H4</f>
        <v>4771.41369863014</v>
      </c>
      <c r="L4" s="119" t="s">
        <v>15</v>
      </c>
    </row>
    <row r="5" s="10" customFormat="1" ht="14.4" spans="1:40">
      <c r="A5" s="31" t="s">
        <v>16</v>
      </c>
      <c r="B5" s="93"/>
      <c r="C5" s="94"/>
      <c r="D5" s="95"/>
      <c r="E5" s="95"/>
      <c r="F5" s="95"/>
      <c r="G5" s="96"/>
      <c r="H5" s="102"/>
      <c r="I5" s="102"/>
      <c r="J5" s="117"/>
      <c r="K5" s="117"/>
      <c r="L5" s="117"/>
      <c r="M5" s="114"/>
      <c r="N5" s="114"/>
      <c r="O5" s="115"/>
      <c r="P5" s="116"/>
      <c r="Q5" s="123"/>
      <c r="R5" s="123"/>
      <c r="S5" s="115"/>
      <c r="T5" s="124"/>
      <c r="U5" s="124"/>
      <c r="V5" s="125"/>
      <c r="W5" s="125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/>
      <c r="AN5" s="83"/>
    </row>
    <row r="6" customHeight="1" spans="1:12">
      <c r="A6" s="97">
        <f>VLOOKUP(B6,'[2]CID 863972'!A:B,2,FALSE)</f>
        <v>43623</v>
      </c>
      <c r="B6" s="98" t="s">
        <v>17</v>
      </c>
      <c r="C6" s="98" t="str">
        <f ca="1">VLOOKUP(B6,'CID 863972'!A:V,22,FALSE)</f>
        <v>Glovis Clipper(KB)</v>
      </c>
      <c r="D6" s="99">
        <f>VLOOKUP(B6,'CID 863972'!A:C,3,FALSE)</f>
        <v>43533</v>
      </c>
      <c r="E6" s="100"/>
      <c r="F6" s="101">
        <f ca="1">VLOOKUP(B6,'CID 863972'!A:T,20,FALSE)</f>
        <v>7112.75</v>
      </c>
      <c r="G6" s="87">
        <f ca="1">VLOOKUP(B6,'CID 863972'!A:J,10,FALSE)</f>
        <v>0</v>
      </c>
      <c r="H6" s="87">
        <f ca="1">VLOOKUP(B6,'CID 863972'!A:I,9,FALSE)</f>
        <v>196.587671232877</v>
      </c>
      <c r="I6" s="118"/>
      <c r="J6" s="100"/>
      <c r="K6" s="100">
        <f ca="1" t="shared" si="0"/>
        <v>7309.33767123288</v>
      </c>
      <c r="L6" s="119" t="s">
        <v>15</v>
      </c>
    </row>
    <row r="7" customHeight="1" spans="1:12">
      <c r="A7" s="97">
        <f>VLOOKUP(B7,'[2]CID 863972'!A:B,2,FALSE)</f>
        <v>43623</v>
      </c>
      <c r="B7" s="98" t="s">
        <v>18</v>
      </c>
      <c r="C7" s="98" t="str">
        <f ca="1">VLOOKUP(B7,'CID 863972'!A:V,22,FALSE)</f>
        <v>Glovis Clipper(KZ)</v>
      </c>
      <c r="D7" s="99">
        <f>VLOOKUP(B7,'CID 863972'!A:C,3,FALSE)</f>
        <v>43533</v>
      </c>
      <c r="E7" s="100"/>
      <c r="F7" s="101">
        <f ca="1">VLOOKUP(B7,'CID 863972'!A:T,20,FALSE)</f>
        <v>7900.5</v>
      </c>
      <c r="G7" s="87">
        <f ca="1">VLOOKUP(B7,'CID 863972'!A:J,10,FALSE)</f>
        <v>0</v>
      </c>
      <c r="H7" s="87">
        <f ca="1">VLOOKUP(B7,'CID 863972'!A:I,9,FALSE)</f>
        <v>207.284931506849</v>
      </c>
      <c r="I7" s="118"/>
      <c r="J7" s="100"/>
      <c r="K7" s="100">
        <f ca="1" t="shared" si="0"/>
        <v>8107.78493150685</v>
      </c>
      <c r="L7" s="119" t="s">
        <v>15</v>
      </c>
    </row>
    <row r="8" customHeight="1" spans="1:12">
      <c r="A8" s="97">
        <f>VLOOKUP(B8,'[2]CID 863972'!A:B,2,FALSE)</f>
        <v>43623</v>
      </c>
      <c r="B8" s="98" t="s">
        <v>19</v>
      </c>
      <c r="C8" s="98" t="str">
        <f ca="1">VLOOKUP(B8,'CID 863972'!A:V,22,FALSE)</f>
        <v>Glovis Clipper(KB)</v>
      </c>
      <c r="D8" s="99">
        <f>VLOOKUP(B8,'CID 863972'!A:C,3,FALSE)</f>
        <v>43533</v>
      </c>
      <c r="E8" s="100"/>
      <c r="F8" s="101">
        <f ca="1">VLOOKUP(B8,'CID 863972'!A:T,20,FALSE)</f>
        <v>4828.25</v>
      </c>
      <c r="G8" s="87">
        <f ca="1">VLOOKUP(B8,'CID 863972'!A:J,10,FALSE)</f>
        <v>0</v>
      </c>
      <c r="H8" s="87">
        <f ca="1">VLOOKUP(B8,'CID 863972'!A:I,9,FALSE)</f>
        <v>165.565276950566</v>
      </c>
      <c r="I8" s="118"/>
      <c r="J8" s="100"/>
      <c r="K8" s="100">
        <f ca="1" t="shared" si="0"/>
        <v>4993.81527695057</v>
      </c>
      <c r="L8" s="119" t="s">
        <v>15</v>
      </c>
    </row>
    <row r="9" s="10" customFormat="1" ht="14.4" spans="1:40">
      <c r="A9" s="31" t="s">
        <v>20</v>
      </c>
      <c r="B9" s="93"/>
      <c r="C9" s="94"/>
      <c r="D9" s="95"/>
      <c r="E9" s="95"/>
      <c r="F9" s="95"/>
      <c r="G9" s="96"/>
      <c r="H9" s="96"/>
      <c r="I9" s="102"/>
      <c r="J9" s="102"/>
      <c r="K9" s="102"/>
      <c r="L9" s="117"/>
      <c r="M9" s="114"/>
      <c r="N9" s="114"/>
      <c r="O9" s="115"/>
      <c r="P9" s="116"/>
      <c r="Q9" s="123"/>
      <c r="R9" s="123"/>
      <c r="S9" s="115"/>
      <c r="T9" s="124"/>
      <c r="U9" s="124"/>
      <c r="V9" s="125"/>
      <c r="W9" s="125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3"/>
      <c r="AN9" s="83"/>
    </row>
    <row r="10" customHeight="1" spans="1:12">
      <c r="A10" s="97">
        <f>VLOOKUP(B10,'[2]CID 863972'!A:B,2,FALSE)</f>
        <v>43681</v>
      </c>
      <c r="B10" s="98" t="s">
        <v>21</v>
      </c>
      <c r="C10" s="98" t="str">
        <f ca="1">VLOOKUP(B10,'CID 863972'!A:V,22,FALSE)</f>
        <v>Wisdom Ace(KZ)</v>
      </c>
      <c r="D10" s="99">
        <f>VLOOKUP(B10,'CID 863972'!A:C,3,FALSE)</f>
        <v>43591</v>
      </c>
      <c r="E10" s="100">
        <f ca="1">VLOOKUP(B10,'CID 863972'!A:R,18,FALSE)</f>
        <v>200000</v>
      </c>
      <c r="F10" s="101"/>
      <c r="G10" s="87">
        <f ca="1">VLOOKUP(B10,'CID 863972'!A:J,10,FALSE)</f>
        <v>7684.72602739726</v>
      </c>
      <c r="I10" s="118"/>
      <c r="J10" s="100">
        <f ca="1">E10+G10</f>
        <v>207684.726027397</v>
      </c>
      <c r="K10" s="100"/>
      <c r="L10" s="119" t="s">
        <v>22</v>
      </c>
    </row>
    <row r="11" customHeight="1" spans="1:12">
      <c r="A11" s="103" t="s">
        <v>23</v>
      </c>
      <c r="B11" s="104"/>
      <c r="C11" s="104">
        <f ca="1">SUBTOTAL(3,C4:C10)</f>
        <v>5</v>
      </c>
      <c r="D11" s="105"/>
      <c r="E11" s="106">
        <f ca="1">SUM(E4:E10)</f>
        <v>200000</v>
      </c>
      <c r="F11" s="107">
        <f ca="1">SUM(F4:F8)</f>
        <v>24435.75</v>
      </c>
      <c r="G11" s="108">
        <f ca="1">SUM(G4:G10)</f>
        <v>7684.72602739726</v>
      </c>
      <c r="H11" s="108">
        <f ca="1">SUM(H4:H8)</f>
        <v>746.601578320429</v>
      </c>
      <c r="I11" s="106"/>
      <c r="J11" s="120">
        <f ca="1">SUM(J10)</f>
        <v>207684.726027397</v>
      </c>
      <c r="K11" s="120">
        <f ca="1">SUM(K4:K10)</f>
        <v>25182.3515783204</v>
      </c>
      <c r="L11" s="121"/>
    </row>
    <row r="12" customHeight="1" spans="12:12">
      <c r="L12" s="122"/>
    </row>
    <row r="13" customHeight="1" spans="1:11">
      <c r="A13" s="109"/>
      <c r="B13" s="110"/>
      <c r="C13" s="110"/>
      <c r="D13" s="111"/>
      <c r="E13" s="110"/>
      <c r="F13" s="112"/>
      <c r="I13" s="110"/>
      <c r="J13" s="110"/>
      <c r="K13" s="110"/>
    </row>
    <row r="15" customHeight="1" spans="9:9">
      <c r="I15" s="84"/>
    </row>
    <row r="16" customHeight="1" spans="9:9">
      <c r="I16" s="84"/>
    </row>
    <row r="17" customHeight="1" spans="9:9">
      <c r="I17" s="84"/>
    </row>
    <row r="18" customHeight="1" spans="9:9">
      <c r="I18" s="84"/>
    </row>
    <row r="19" customHeight="1" spans="9:9">
      <c r="I19" s="84"/>
    </row>
    <row r="20" customHeight="1" spans="9:9">
      <c r="I20" s="84"/>
    </row>
    <row r="21" customHeight="1" spans="9:9">
      <c r="I21" s="84"/>
    </row>
    <row r="22" customHeight="1" spans="9:9">
      <c r="I22" s="84"/>
    </row>
    <row r="23" customHeight="1" spans="9:9">
      <c r="I23" s="84"/>
    </row>
  </sheetData>
  <conditionalFormatting sqref="A2">
    <cfRule type="cellIs" dxfId="0" priority="1" operator="lessThan">
      <formula>TODAY()</formula>
    </cfRule>
  </conditionalFormatting>
  <pageMargins left="0.7" right="0.7" top="0.75" bottom="0.75" header="0.3" footer="0.3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workbookViewId="0">
      <selection activeCell="D29" sqref="D29"/>
    </sheetView>
  </sheetViews>
  <sheetFormatPr defaultColWidth="9" defaultRowHeight="14.4"/>
  <cols>
    <col min="1" max="1" width="20.5740740740741" customWidth="1"/>
    <col min="2" max="2" width="18.287037037037" style="4" customWidth="1"/>
    <col min="3" max="3" width="11" customWidth="1"/>
    <col min="4" max="4" width="23.8518518518519" style="5" customWidth="1"/>
    <col min="5" max="5" width="16.4259259259259" style="6" customWidth="1"/>
    <col min="6" max="6" width="15.5740740740741" style="7" customWidth="1"/>
    <col min="7" max="7" width="23.1388888888889" style="6" customWidth="1"/>
    <col min="8" max="8" width="22.7777777777778" style="4" customWidth="1"/>
    <col min="9" max="9" width="16.712962962963" style="8" customWidth="1"/>
    <col min="10" max="10" width="15.8518518518519" style="9" customWidth="1"/>
    <col min="11" max="11" width="12.4259259259259" customWidth="1"/>
    <col min="12" max="12" width="11.1388888888889" customWidth="1"/>
    <col min="13" max="13" width="7.13888888888889" customWidth="1"/>
    <col min="14" max="14" width="24.287037037037" customWidth="1"/>
    <col min="15" max="15" width="9.28703703703704" customWidth="1"/>
    <col min="16" max="16" width="20.8518518518519" customWidth="1"/>
    <col min="17" max="17" width="11.5740740740741" customWidth="1"/>
    <col min="18" max="18" width="15" customWidth="1"/>
    <col min="19" max="19" width="14.5740740740741" customWidth="1"/>
    <col min="20" max="20" width="21.8518518518519" style="4" customWidth="1"/>
    <col min="21" max="21" width="10.4259259259259" customWidth="1"/>
    <col min="22" max="22" width="17.287037037037" customWidth="1"/>
    <col min="23" max="23" width="11.712962962963" customWidth="1"/>
    <col min="24" max="24" width="17.4259259259259" customWidth="1"/>
    <col min="25" max="25" width="17.712962962963" customWidth="1"/>
    <col min="26" max="26" width="17" customWidth="1"/>
    <col min="27" max="27" width="16.712962962963" customWidth="1"/>
    <col min="28" max="16383" width="9.13888888888889" style="10"/>
    <col min="16384" max="16384" width="9" style="10"/>
  </cols>
  <sheetData>
    <row r="1" spans="1:27">
      <c r="A1" s="11" t="s">
        <v>24</v>
      </c>
      <c r="B1" s="12"/>
      <c r="C1" s="13"/>
      <c r="D1" s="14"/>
      <c r="E1" s="15" t="s">
        <v>25</v>
      </c>
      <c r="F1" s="16"/>
      <c r="G1" s="17"/>
      <c r="H1" s="12"/>
      <c r="I1" s="53"/>
      <c r="J1" s="54"/>
      <c r="K1" s="55"/>
      <c r="L1" s="55"/>
      <c r="M1" s="55"/>
      <c r="N1" s="56"/>
      <c r="O1" s="57"/>
      <c r="P1" s="57"/>
      <c r="Q1" s="55"/>
      <c r="R1" s="73"/>
      <c r="S1" s="73"/>
      <c r="T1" s="73"/>
      <c r="U1" s="73"/>
      <c r="V1" s="73"/>
      <c r="W1" s="55"/>
      <c r="X1" s="55"/>
      <c r="Y1" s="55"/>
      <c r="Z1" s="55"/>
      <c r="AA1" s="55"/>
    </row>
    <row r="2" s="1" customFormat="1" spans="1:27">
      <c r="A2" s="18" t="s">
        <v>1</v>
      </c>
      <c r="B2" s="19" t="s">
        <v>26</v>
      </c>
      <c r="C2" s="18" t="s">
        <v>27</v>
      </c>
      <c r="D2" s="20" t="s">
        <v>28</v>
      </c>
      <c r="E2" s="21" t="s">
        <v>29</v>
      </c>
      <c r="F2" s="22" t="s">
        <v>30</v>
      </c>
      <c r="G2" s="23" t="s">
        <v>31</v>
      </c>
      <c r="H2" s="22" t="s">
        <v>32</v>
      </c>
      <c r="I2" s="58" t="s">
        <v>33</v>
      </c>
      <c r="J2" s="59" t="s">
        <v>34</v>
      </c>
      <c r="K2" s="18" t="s">
        <v>8</v>
      </c>
      <c r="L2" s="18" t="s">
        <v>35</v>
      </c>
      <c r="M2" s="18" t="s">
        <v>36</v>
      </c>
      <c r="N2" s="18" t="s">
        <v>37</v>
      </c>
      <c r="O2" s="18" t="s">
        <v>38</v>
      </c>
      <c r="P2" s="18" t="s">
        <v>39</v>
      </c>
      <c r="Q2" s="18" t="s">
        <v>40</v>
      </c>
      <c r="R2" s="18" t="s">
        <v>41</v>
      </c>
      <c r="S2" s="18" t="s">
        <v>42</v>
      </c>
      <c r="T2" s="19" t="s">
        <v>43</v>
      </c>
      <c r="U2" s="18" t="s">
        <v>44</v>
      </c>
      <c r="V2" s="18" t="s">
        <v>45</v>
      </c>
      <c r="W2" s="18" t="s">
        <v>46</v>
      </c>
      <c r="X2" s="18" t="s">
        <v>47</v>
      </c>
      <c r="Y2" s="18" t="s">
        <v>48</v>
      </c>
      <c r="Z2" s="18" t="s">
        <v>49</v>
      </c>
      <c r="AA2" s="18" t="s">
        <v>50</v>
      </c>
    </row>
    <row r="3" spans="1:38">
      <c r="A3" s="24" t="s">
        <v>12</v>
      </c>
      <c r="B3" s="25"/>
      <c r="C3" s="26"/>
      <c r="D3" s="26"/>
      <c r="E3" s="27"/>
      <c r="F3" s="28"/>
      <c r="G3" s="29"/>
      <c r="H3" s="30"/>
      <c r="I3" s="60"/>
      <c r="J3" s="61"/>
      <c r="K3" s="62"/>
      <c r="L3" s="62"/>
      <c r="M3" s="63"/>
      <c r="N3" s="64"/>
      <c r="O3" s="65"/>
      <c r="P3" s="65"/>
      <c r="Q3" s="63"/>
      <c r="R3" s="74"/>
      <c r="S3" s="74"/>
      <c r="T3" s="75"/>
      <c r="U3" s="75"/>
      <c r="V3" s="30"/>
      <c r="W3" s="30"/>
      <c r="X3" s="30"/>
      <c r="Y3" s="30"/>
      <c r="Z3" s="30"/>
      <c r="AA3" s="30"/>
      <c r="AB3" s="82"/>
      <c r="AC3" s="82"/>
      <c r="AD3" s="82"/>
      <c r="AE3" s="82"/>
      <c r="AF3" s="82"/>
      <c r="AG3" s="82"/>
      <c r="AH3" s="82"/>
      <c r="AI3" s="82"/>
      <c r="AJ3" s="82"/>
      <c r="AK3" s="83"/>
      <c r="AL3" s="83"/>
    </row>
    <row r="4" s="2" customFormat="1" spans="1:27">
      <c r="A4" s="31" t="s">
        <v>13</v>
      </c>
      <c r="B4" s="32"/>
      <c r="C4" s="31"/>
      <c r="D4" s="33"/>
      <c r="E4" s="34"/>
      <c r="F4" s="35"/>
      <c r="G4" s="36"/>
      <c r="H4" s="35"/>
      <c r="I4" s="66"/>
      <c r="J4" s="67"/>
      <c r="K4" s="31"/>
      <c r="L4" s="31"/>
      <c r="M4" s="31"/>
      <c r="N4" s="31"/>
      <c r="O4" s="31"/>
      <c r="P4" s="31"/>
      <c r="Q4" s="31"/>
      <c r="R4" s="31"/>
      <c r="S4" s="31"/>
      <c r="T4" s="32"/>
      <c r="U4" s="31"/>
      <c r="V4" s="31"/>
      <c r="W4" s="31"/>
      <c r="X4" s="31"/>
      <c r="Y4" s="31"/>
      <c r="Z4" s="31"/>
      <c r="AA4" s="31"/>
    </row>
    <row r="5" spans="1:27">
      <c r="A5" s="37" t="s">
        <v>14</v>
      </c>
      <c r="B5" s="38">
        <f t="shared" ref="B5:B11" si="0">C5+90</f>
        <v>43605</v>
      </c>
      <c r="C5" s="39">
        <v>43515</v>
      </c>
      <c r="D5" s="40">
        <f ca="1">TODAY()-C5</f>
        <v>184</v>
      </c>
      <c r="E5" s="41">
        <f ca="1">IF(D5&gt;90,100,0)</f>
        <v>100</v>
      </c>
      <c r="F5" s="42"/>
      <c r="G5" s="43">
        <f ca="1">IF(AND(D5&gt;90,D5&lt;=184),((S5*0.075)*((D5-90)/365)),0)</f>
        <v>77.163698630137</v>
      </c>
      <c r="H5" s="44"/>
      <c r="I5" s="68">
        <f ca="1" t="shared" ref="I5:I9" si="1">E5+G5</f>
        <v>177.163698630137</v>
      </c>
      <c r="J5" s="69"/>
      <c r="K5" s="37"/>
      <c r="L5" s="10" t="s">
        <v>51</v>
      </c>
      <c r="M5" s="10">
        <v>2008</v>
      </c>
      <c r="N5" s="10" t="s">
        <v>52</v>
      </c>
      <c r="O5" s="10" t="s">
        <v>53</v>
      </c>
      <c r="P5" s="10" t="s">
        <v>54</v>
      </c>
      <c r="Q5" s="10" t="s">
        <v>55</v>
      </c>
      <c r="R5" s="76"/>
      <c r="S5" s="76">
        <f t="shared" ref="S5:S9" si="2">T5/1.15</f>
        <v>3995</v>
      </c>
      <c r="T5" s="77">
        <f>'[1]CLOVER ACE V70'!G8*1.15</f>
        <v>4594.25</v>
      </c>
      <c r="U5" s="76">
        <v>1100</v>
      </c>
      <c r="V5" s="10" t="s">
        <v>56</v>
      </c>
      <c r="W5" s="39">
        <v>43496</v>
      </c>
      <c r="X5" s="78">
        <v>43487.6506944444</v>
      </c>
      <c r="Y5" s="78">
        <v>43487.5875</v>
      </c>
      <c r="Z5" s="10">
        <v>9</v>
      </c>
      <c r="AA5" s="10" t="s">
        <v>57</v>
      </c>
    </row>
    <row r="6" s="2" customFormat="1" spans="1:27">
      <c r="A6" s="31" t="s">
        <v>16</v>
      </c>
      <c r="B6" s="32"/>
      <c r="C6" s="31"/>
      <c r="D6" s="33"/>
      <c r="E6" s="34"/>
      <c r="F6" s="35"/>
      <c r="G6" s="36"/>
      <c r="H6" s="35"/>
      <c r="I6" s="66"/>
      <c r="J6" s="67"/>
      <c r="K6" s="31"/>
      <c r="L6" s="31"/>
      <c r="M6" s="31"/>
      <c r="N6" s="31"/>
      <c r="O6" s="31"/>
      <c r="P6" s="31"/>
      <c r="Q6" s="31"/>
      <c r="R6" s="31"/>
      <c r="S6" s="31"/>
      <c r="T6" s="32"/>
      <c r="U6" s="31"/>
      <c r="V6" s="31"/>
      <c r="W6" s="31"/>
      <c r="X6" s="31"/>
      <c r="Y6" s="31"/>
      <c r="Z6" s="31"/>
      <c r="AA6" s="31"/>
    </row>
    <row r="7" spans="1:27">
      <c r="A7" s="37" t="s">
        <v>17</v>
      </c>
      <c r="B7" s="38">
        <f t="shared" si="0"/>
        <v>43623</v>
      </c>
      <c r="C7" s="39">
        <v>43533</v>
      </c>
      <c r="D7" s="40">
        <f ca="1" t="shared" ref="D5:D11" si="3">TODAY()-C7</f>
        <v>166</v>
      </c>
      <c r="E7" s="41">
        <f ca="1">IF(D7&gt;90,100,0)</f>
        <v>100</v>
      </c>
      <c r="F7" s="42"/>
      <c r="G7" s="43">
        <f ca="1" t="shared" ref="G5:G9" si="4">IF(AND(D7&gt;90,D7&lt;=180),((S7*0.075)*((D7-90)/365)),0)</f>
        <v>96.5876712328767</v>
      </c>
      <c r="H7" s="44"/>
      <c r="I7" s="68">
        <f ca="1" t="shared" si="1"/>
        <v>196.587671232877</v>
      </c>
      <c r="J7" s="69"/>
      <c r="K7" s="37"/>
      <c r="L7" s="10" t="s">
        <v>51</v>
      </c>
      <c r="M7" s="10">
        <v>2008</v>
      </c>
      <c r="N7" s="10" t="s">
        <v>58</v>
      </c>
      <c r="O7" s="10" t="s">
        <v>53</v>
      </c>
      <c r="P7" s="10" t="s">
        <v>59</v>
      </c>
      <c r="Q7" s="10" t="s">
        <v>55</v>
      </c>
      <c r="R7" s="76"/>
      <c r="S7" s="76">
        <f t="shared" si="2"/>
        <v>6185</v>
      </c>
      <c r="T7" s="77">
        <v>7112.75</v>
      </c>
      <c r="U7" s="76">
        <v>1100</v>
      </c>
      <c r="V7" s="10" t="s">
        <v>60</v>
      </c>
      <c r="W7" s="39">
        <v>43512</v>
      </c>
      <c r="X7" s="78">
        <v>43487.5930555556</v>
      </c>
      <c r="Y7" s="78">
        <v>43487.5875</v>
      </c>
      <c r="Z7" s="10">
        <v>25</v>
      </c>
      <c r="AA7" s="10" t="s">
        <v>57</v>
      </c>
    </row>
    <row r="8" spans="1:27">
      <c r="A8" s="37" t="s">
        <v>18</v>
      </c>
      <c r="B8" s="38">
        <f t="shared" si="0"/>
        <v>43623</v>
      </c>
      <c r="C8" s="39">
        <v>43533</v>
      </c>
      <c r="D8" s="40">
        <f ca="1" t="shared" si="3"/>
        <v>166</v>
      </c>
      <c r="E8" s="41">
        <f ca="1" t="shared" ref="E8:E9" si="5">IF(D8&gt;90,100,0)</f>
        <v>100</v>
      </c>
      <c r="F8" s="42"/>
      <c r="G8" s="43">
        <f ca="1" t="shared" si="4"/>
        <v>107.284931506849</v>
      </c>
      <c r="H8" s="44"/>
      <c r="I8" s="68">
        <f ca="1" t="shared" si="1"/>
        <v>207.284931506849</v>
      </c>
      <c r="J8" s="69"/>
      <c r="K8" s="37"/>
      <c r="L8" s="10" t="s">
        <v>51</v>
      </c>
      <c r="M8" s="10">
        <v>2007</v>
      </c>
      <c r="N8" s="10" t="s">
        <v>61</v>
      </c>
      <c r="O8" s="10" t="s">
        <v>53</v>
      </c>
      <c r="P8" s="10" t="s">
        <v>62</v>
      </c>
      <c r="Q8" s="10" t="s">
        <v>55</v>
      </c>
      <c r="R8" s="76"/>
      <c r="S8" s="76">
        <f t="shared" si="2"/>
        <v>6870</v>
      </c>
      <c r="T8" s="77">
        <v>7900.5</v>
      </c>
      <c r="U8" s="76">
        <v>1100</v>
      </c>
      <c r="V8" s="10" t="s">
        <v>63</v>
      </c>
      <c r="W8" s="39">
        <v>43508</v>
      </c>
      <c r="X8" s="78">
        <v>43487.5923611111</v>
      </c>
      <c r="Y8" s="78">
        <v>43487.5875</v>
      </c>
      <c r="Z8" s="10">
        <v>21</v>
      </c>
      <c r="AA8" s="10" t="s">
        <v>57</v>
      </c>
    </row>
    <row r="9" spans="1:27">
      <c r="A9" s="37" t="s">
        <v>19</v>
      </c>
      <c r="B9" s="38">
        <f t="shared" si="0"/>
        <v>43623</v>
      </c>
      <c r="C9" s="39">
        <v>43533</v>
      </c>
      <c r="D9" s="40">
        <f ca="1">TODAY()-C9</f>
        <v>166</v>
      </c>
      <c r="E9" s="41">
        <f ca="1" t="shared" si="5"/>
        <v>100</v>
      </c>
      <c r="F9" s="42"/>
      <c r="G9" s="43">
        <f ca="1" t="shared" si="4"/>
        <v>65.5652769505659</v>
      </c>
      <c r="H9" s="44"/>
      <c r="I9" s="68">
        <f ca="1" t="shared" si="1"/>
        <v>165.565276950566</v>
      </c>
      <c r="J9" s="69"/>
      <c r="K9" s="37"/>
      <c r="L9" s="10" t="s">
        <v>51</v>
      </c>
      <c r="M9" s="10">
        <v>2006</v>
      </c>
      <c r="N9" s="10" t="s">
        <v>64</v>
      </c>
      <c r="O9" s="10" t="s">
        <v>53</v>
      </c>
      <c r="P9" s="10" t="s">
        <v>65</v>
      </c>
      <c r="Q9" s="10" t="s">
        <v>66</v>
      </c>
      <c r="R9" s="76"/>
      <c r="S9" s="76">
        <f t="shared" si="2"/>
        <v>4198.47826086957</v>
      </c>
      <c r="T9" s="77">
        <v>4828.25</v>
      </c>
      <c r="U9" s="76">
        <v>1100</v>
      </c>
      <c r="V9" s="10" t="s">
        <v>60</v>
      </c>
      <c r="W9" s="39">
        <v>43512</v>
      </c>
      <c r="X9" s="78">
        <v>43484.6930555556</v>
      </c>
      <c r="Y9" s="78">
        <v>43487.6951388889</v>
      </c>
      <c r="Z9" s="10">
        <v>28</v>
      </c>
      <c r="AA9" s="10" t="s">
        <v>57</v>
      </c>
    </row>
    <row r="10" s="2" customFormat="1" spans="1:27">
      <c r="A10" s="31" t="s">
        <v>20</v>
      </c>
      <c r="B10" s="32"/>
      <c r="C10" s="31"/>
      <c r="D10" s="33"/>
      <c r="E10" s="34"/>
      <c r="F10" s="35"/>
      <c r="G10" s="36"/>
      <c r="H10" s="35"/>
      <c r="I10" s="66"/>
      <c r="J10" s="67"/>
      <c r="K10" s="31"/>
      <c r="L10" s="31"/>
      <c r="M10" s="31"/>
      <c r="N10" s="31"/>
      <c r="O10" s="31"/>
      <c r="P10" s="31"/>
      <c r="Q10" s="31"/>
      <c r="R10" s="31"/>
      <c r="S10" s="31"/>
      <c r="T10" s="32"/>
      <c r="U10" s="31"/>
      <c r="V10" s="31"/>
      <c r="W10" s="31"/>
      <c r="X10" s="31"/>
      <c r="Y10" s="31"/>
      <c r="Z10" s="31"/>
      <c r="AA10" s="31"/>
    </row>
    <row r="11" spans="1:27">
      <c r="A11" s="45" t="s">
        <v>21</v>
      </c>
      <c r="B11" s="38">
        <f t="shared" si="0"/>
        <v>43681</v>
      </c>
      <c r="C11" s="46">
        <v>43591</v>
      </c>
      <c r="D11" s="40">
        <f ca="1" t="shared" si="3"/>
        <v>108</v>
      </c>
      <c r="E11" s="41"/>
      <c r="F11" s="42">
        <f ca="1">IF(D11&gt;90,6945,0)</f>
        <v>6945</v>
      </c>
      <c r="G11" s="43"/>
      <c r="H11" s="44">
        <f ca="1">IF(AND(D11&gt;90,D11&lt;=180),((R11*0.075)*((D11-90)/365)),0)</f>
        <v>739.72602739726</v>
      </c>
      <c r="J11" s="70">
        <f ca="1">F11+H11</f>
        <v>7684.72602739726</v>
      </c>
      <c r="K11" s="45"/>
      <c r="L11" t="s">
        <v>51</v>
      </c>
      <c r="M11">
        <v>2006</v>
      </c>
      <c r="N11" t="s">
        <v>67</v>
      </c>
      <c r="O11" t="s">
        <v>53</v>
      </c>
      <c r="P11" t="s">
        <v>65</v>
      </c>
      <c r="Q11" t="s">
        <v>66</v>
      </c>
      <c r="R11" s="79">
        <v>200000</v>
      </c>
      <c r="S11" s="79"/>
      <c r="T11" s="80"/>
      <c r="U11" s="79">
        <v>1100</v>
      </c>
      <c r="V11" t="s">
        <v>68</v>
      </c>
      <c r="W11" s="46">
        <v>43567</v>
      </c>
      <c r="X11" s="81">
        <v>43488.8048611111</v>
      </c>
      <c r="Y11" s="81">
        <v>43494.5208333333</v>
      </c>
      <c r="Z11">
        <v>79</v>
      </c>
      <c r="AA11" t="s">
        <v>57</v>
      </c>
    </row>
    <row r="12" s="3" customFormat="1" spans="1:27">
      <c r="A12" s="47" t="s">
        <v>69</v>
      </c>
      <c r="B12" s="48"/>
      <c r="C12" s="49">
        <f>SUBTOTAL(3,C5:C11)</f>
        <v>5</v>
      </c>
      <c r="D12" s="50"/>
      <c r="E12" s="51"/>
      <c r="F12" s="52"/>
      <c r="G12" s="51"/>
      <c r="H12" s="48"/>
      <c r="I12" s="71">
        <f ca="1">SUM(I5:I11)</f>
        <v>746.601578320429</v>
      </c>
      <c r="J12" s="72">
        <f ca="1">SUM(J5:J11)</f>
        <v>7684.72602739726</v>
      </c>
      <c r="K12" s="49"/>
      <c r="L12" s="49"/>
      <c r="M12" s="49"/>
      <c r="N12" s="49"/>
      <c r="O12" s="49"/>
      <c r="P12" s="49"/>
      <c r="Q12" s="49"/>
      <c r="R12" s="49"/>
      <c r="S12" s="49"/>
      <c r="T12" s="48"/>
      <c r="U12" s="49"/>
      <c r="V12" s="49"/>
      <c r="W12" s="49"/>
      <c r="X12" s="49"/>
      <c r="Y12" s="49"/>
      <c r="Z12" s="49"/>
      <c r="AA12" s="49"/>
    </row>
    <row r="16" spans="19:19">
      <c r="S16" s="79"/>
    </row>
    <row r="20" spans="19:19">
      <c r="S20" s="79"/>
    </row>
    <row r="24" spans="19:19">
      <c r="S24" s="79"/>
    </row>
  </sheetData>
  <autoFilter ref="L2:AA11">
    <extLst/>
  </autoFilter>
  <conditionalFormatting sqref="A1">
    <cfRule type="cellIs" dxfId="0" priority="3" operator="lessThan">
      <formula>TODAY()</formula>
    </cfRule>
  </conditionalFormatting>
  <conditionalFormatting sqref="A3">
    <cfRule type="cellIs" dxfId="0" priority="1" operator="lessThan">
      <formula>TODAY()</formula>
    </cfRule>
  </conditionalFormatting>
  <conditionalFormatting sqref="B7:B9 B5 B11">
    <cfRule type="cellIs" dxfId="0" priority="2" operator="lessThan">
      <formula>TODAY()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CID 863972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user</cp:lastModifiedBy>
  <dcterms:created xsi:type="dcterms:W3CDTF">2019-08-15T00:02:00Z</dcterms:created>
  <dcterms:modified xsi:type="dcterms:W3CDTF">2019-08-22T02:56:13Z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1033-11.2.0.8934</vt:lpwstr>
  </property>
</Properties>
</file>