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KAP ATNZ Logistics\KAP Inventory Master List\"/>
    </mc:Choice>
  </mc:AlternateContent>
  <xr:revisionPtr revIDLastSave="0" documentId="13_ncr:1_{03EB7E75-595C-45DE-B63A-56669B542761}" xr6:coauthVersionLast="47" xr6:coauthVersionMax="47" xr10:uidLastSave="{00000000-0000-0000-0000-000000000000}"/>
  <bookViews>
    <workbookView xWindow="-108" yWindow="-108" windowWidth="18648" windowHeight="11784" activeTab="1" xr2:uid="{E7D89D56-A8D2-4058-8F0A-DACF20F1143E}"/>
  </bookViews>
  <sheets>
    <sheet name="WS-North" sheetId="1" r:id="rId1"/>
    <sheet name="WS-South" sheetId="3" r:id="rId2"/>
    <sheet name="KAP-Cancelled" sheetId="2" r:id="rId3"/>
    <sheet name="ATNZ Vehicles" sheetId="6" r:id="rId4"/>
    <sheet name="WSN-Bid Price" sheetId="4" r:id="rId5"/>
  </sheets>
  <definedNames>
    <definedName name="_xlnm._FilterDatabase" localSheetId="3" hidden="1">'ATNZ Vehicles'!$A$1:$R$35</definedName>
    <definedName name="_xlnm._FilterDatabase" localSheetId="2" hidden="1">'KAP-Cancelled'!$A$1:$Q$110</definedName>
    <definedName name="_xlnm._FilterDatabase" localSheetId="0" hidden="1">'WS-North'!$A$1:$S$61</definedName>
    <definedName name="_xlnm._FilterDatabase" localSheetId="1" hidden="1">'WS-South'!$A$1:$S$160</definedName>
    <definedName name="_xlnm.Print_Area" localSheetId="2">'KAP-Cancelled'!$B$1:$I$110</definedName>
    <definedName name="_xlnm.Print_Area" localSheetId="0">'WS-North'!$B$1:$I$61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4" i="3" l="1"/>
  <c r="O54" i="3" s="1"/>
  <c r="N53" i="3"/>
  <c r="O53" i="3" s="1"/>
  <c r="J4" i="1"/>
  <c r="L22" i="1"/>
  <c r="L138" i="2"/>
  <c r="N112" i="2"/>
  <c r="L81" i="1" l="1"/>
  <c r="L25" i="3"/>
  <c r="N163" i="3"/>
  <c r="N162" i="3"/>
  <c r="N165" i="3"/>
  <c r="O165" i="3" s="1"/>
  <c r="N161" i="3"/>
  <c r="N164" i="3"/>
  <c r="O164" i="3" s="1"/>
  <c r="L230" i="3" l="1"/>
  <c r="L113" i="1"/>
  <c r="L158" i="3"/>
  <c r="L51" i="2"/>
  <c r="L226" i="3"/>
  <c r="L101" i="2"/>
  <c r="J101" i="2"/>
  <c r="M108" i="2"/>
  <c r="N108" i="2" s="1"/>
  <c r="N237" i="3"/>
  <c r="O237" i="3" s="1"/>
  <c r="K44" i="3"/>
  <c r="L44" i="3" s="1"/>
  <c r="L102" i="1"/>
  <c r="L106" i="1"/>
  <c r="L104" i="1"/>
  <c r="L103" i="1"/>
  <c r="L101" i="1"/>
  <c r="L100" i="1"/>
  <c r="L99" i="1"/>
  <c r="L96" i="1"/>
  <c r="L95" i="1"/>
  <c r="L107" i="3"/>
  <c r="N107" i="3" s="1"/>
  <c r="L153" i="3"/>
  <c r="N55" i="3"/>
  <c r="O55" i="3" s="1"/>
  <c r="L64" i="2"/>
  <c r="L222" i="3"/>
  <c r="L38" i="1"/>
  <c r="J158" i="3" l="1"/>
  <c r="L3" i="1"/>
  <c r="L120" i="3"/>
  <c r="N223" i="3"/>
  <c r="O223" i="3" s="1"/>
  <c r="M57" i="6" l="1"/>
  <c r="N57" i="6" s="1"/>
  <c r="N92" i="1"/>
  <c r="O92" i="1" s="1"/>
  <c r="N91" i="1" l="1"/>
  <c r="O91" i="1" s="1"/>
  <c r="L75" i="2" l="1"/>
  <c r="M75" i="2" s="1"/>
  <c r="N75" i="2" s="1"/>
  <c r="L90" i="1" l="1"/>
  <c r="L52" i="2"/>
  <c r="K50" i="3"/>
  <c r="L131" i="2"/>
  <c r="L41" i="2" l="1"/>
  <c r="M52" i="2"/>
  <c r="N52" i="2" s="1"/>
  <c r="N58" i="1"/>
  <c r="O58" i="1" s="1"/>
  <c r="L79" i="1" l="1"/>
  <c r="M42" i="2"/>
  <c r="N42" i="2" s="1"/>
  <c r="M41" i="2"/>
  <c r="N41" i="2" s="1"/>
  <c r="L70" i="1" l="1"/>
  <c r="M35" i="6"/>
  <c r="L134" i="3"/>
  <c r="N134" i="3" s="1"/>
  <c r="K16" i="2"/>
  <c r="L16" i="2" s="1"/>
  <c r="L2" i="2"/>
  <c r="N85" i="1"/>
  <c r="O85" i="1" s="1"/>
  <c r="L104" i="2"/>
  <c r="K82" i="1"/>
  <c r="L82" i="1" s="1"/>
  <c r="N82" i="1" s="1"/>
  <c r="M105" i="2"/>
  <c r="N105" i="2" s="1"/>
  <c r="M16" i="2" l="1"/>
  <c r="N16" i="2" s="1"/>
  <c r="L15" i="3"/>
  <c r="L75" i="1" l="1"/>
  <c r="L66" i="1"/>
  <c r="K39" i="1" l="1"/>
  <c r="K110" i="1"/>
  <c r="K72" i="2"/>
  <c r="L72" i="2" s="1"/>
  <c r="M72" i="2" s="1"/>
  <c r="N72" i="2" s="1"/>
  <c r="L112" i="1"/>
  <c r="N112" i="1" s="1"/>
  <c r="K97" i="1"/>
  <c r="L97" i="1" s="1"/>
  <c r="N90" i="1"/>
  <c r="L86" i="1"/>
  <c r="M62" i="2"/>
  <c r="N62" i="2" s="1"/>
  <c r="N97" i="1" l="1"/>
  <c r="L110" i="1"/>
  <c r="N110" i="1" s="1"/>
  <c r="L39" i="1"/>
  <c r="N39" i="1" s="1"/>
  <c r="O39" i="1" s="1"/>
  <c r="L87" i="1"/>
  <c r="K199" i="3"/>
  <c r="L199" i="3" s="1"/>
  <c r="L216" i="3"/>
  <c r="K136" i="2"/>
  <c r="L136" i="2" s="1"/>
  <c r="M136" i="2" s="1"/>
  <c r="N136" i="2" s="1"/>
  <c r="M103" i="2"/>
  <c r="N103" i="2" s="1"/>
  <c r="M104" i="2"/>
  <c r="N104" i="2" s="1"/>
  <c r="L120" i="2"/>
  <c r="L78" i="2" l="1"/>
  <c r="L10" i="1"/>
  <c r="L80" i="1"/>
  <c r="N80" i="1" l="1"/>
  <c r="L111" i="1"/>
  <c r="K18" i="3" l="1"/>
  <c r="L18" i="3" s="1"/>
  <c r="K2" i="1" l="1"/>
  <c r="L14" i="3"/>
  <c r="N14" i="3" s="1"/>
  <c r="N192" i="3"/>
  <c r="O192" i="3" s="1"/>
  <c r="N19" i="3"/>
  <c r="O19" i="3" s="1"/>
  <c r="N50" i="3"/>
  <c r="O50" i="3" s="1"/>
  <c r="N18" i="3"/>
  <c r="O18" i="3" s="1"/>
  <c r="L235" i="3"/>
  <c r="N235" i="3" s="1"/>
  <c r="L11" i="3"/>
  <c r="N11" i="3" s="1"/>
  <c r="M64" i="2"/>
  <c r="N64" i="2" s="1"/>
  <c r="K56" i="3"/>
  <c r="L56" i="3" s="1"/>
  <c r="K40" i="1"/>
  <c r="L40" i="1" s="1"/>
  <c r="N48" i="3"/>
  <c r="O48" i="3" s="1"/>
  <c r="N47" i="3"/>
  <c r="N17" i="3"/>
  <c r="N16" i="3"/>
  <c r="O16" i="3" s="1"/>
  <c r="N216" i="3"/>
  <c r="N15" i="3"/>
  <c r="N44" i="3"/>
  <c r="O44" i="3" s="1"/>
  <c r="N51" i="3"/>
  <c r="N41" i="3"/>
  <c r="N243" i="3"/>
  <c r="N12" i="3"/>
  <c r="N220" i="3"/>
  <c r="N230" i="3"/>
  <c r="N10" i="3"/>
  <c r="N9" i="3"/>
  <c r="N21" i="3"/>
  <c r="N241" i="3"/>
  <c r="N200" i="3"/>
  <c r="N36" i="3"/>
  <c r="N226" i="3"/>
  <c r="N35" i="3"/>
  <c r="N34" i="3"/>
  <c r="N33" i="3"/>
  <c r="N32" i="3"/>
  <c r="N31" i="3"/>
  <c r="N214" i="3"/>
  <c r="N215" i="3"/>
  <c r="N159" i="3"/>
  <c r="N202" i="3"/>
  <c r="N158" i="3"/>
  <c r="N157" i="3"/>
  <c r="N132" i="3"/>
  <c r="N131" i="3"/>
  <c r="N130" i="3"/>
  <c r="N156" i="3"/>
  <c r="N236" i="3"/>
  <c r="N30" i="3"/>
  <c r="N233" i="3"/>
  <c r="N234" i="3"/>
  <c r="N129" i="3"/>
  <c r="N29" i="3"/>
  <c r="N222" i="3"/>
  <c r="N155" i="3"/>
  <c r="N128" i="3"/>
  <c r="N113" i="3"/>
  <c r="N112" i="3"/>
  <c r="N24" i="3"/>
  <c r="N23" i="3"/>
  <c r="N238" i="3"/>
  <c r="N127" i="3"/>
  <c r="N72" i="3"/>
  <c r="N126" i="3"/>
  <c r="N125" i="3"/>
  <c r="N124" i="3"/>
  <c r="N209" i="3"/>
  <c r="N123" i="3"/>
  <c r="N122" i="3"/>
  <c r="N71" i="3"/>
  <c r="N154" i="3"/>
  <c r="N153" i="3"/>
  <c r="N121" i="3"/>
  <c r="N111" i="3"/>
  <c r="N199" i="3"/>
  <c r="N70" i="3"/>
  <c r="N239" i="3"/>
  <c r="N194" i="3"/>
  <c r="N120" i="3"/>
  <c r="N119" i="3"/>
  <c r="N152" i="3"/>
  <c r="N151" i="3"/>
  <c r="N69" i="3"/>
  <c r="N68" i="3"/>
  <c r="N205" i="3"/>
  <c r="N193" i="3"/>
  <c r="N150" i="3"/>
  <c r="N229" i="3"/>
  <c r="N201" i="3"/>
  <c r="N67" i="3"/>
  <c r="N66" i="3"/>
  <c r="N196" i="3"/>
  <c r="N224" i="3"/>
  <c r="N65" i="3"/>
  <c r="N64" i="3"/>
  <c r="N6" i="3"/>
  <c r="N28" i="3"/>
  <c r="N27" i="3"/>
  <c r="N5" i="3"/>
  <c r="N198" i="3"/>
  <c r="N218" i="3"/>
  <c r="N4" i="3"/>
  <c r="N221" i="3"/>
  <c r="N3" i="3"/>
  <c r="N2" i="3"/>
  <c r="N149" i="3"/>
  <c r="N148" i="3"/>
  <c r="N110" i="3"/>
  <c r="N109" i="3"/>
  <c r="N228" i="3"/>
  <c r="N147" i="3"/>
  <c r="N203" i="3"/>
  <c r="N108" i="3"/>
  <c r="N146" i="3"/>
  <c r="N106" i="3"/>
  <c r="N26" i="3"/>
  <c r="N22" i="3"/>
  <c r="N7" i="3"/>
  <c r="N145" i="3"/>
  <c r="N144" i="3"/>
  <c r="N105" i="3"/>
  <c r="N219" i="3"/>
  <c r="N104" i="3"/>
  <c r="N60" i="3"/>
  <c r="N103" i="3"/>
  <c r="N102" i="3"/>
  <c r="N101" i="3"/>
  <c r="N143" i="3"/>
  <c r="N142" i="3"/>
  <c r="N135" i="3"/>
  <c r="N195" i="3"/>
  <c r="N141" i="3"/>
  <c r="N242" i="3"/>
  <c r="N210" i="3"/>
  <c r="N231" i="3"/>
  <c r="N118" i="3"/>
  <c r="N100" i="3"/>
  <c r="N99" i="3"/>
  <c r="N211" i="3"/>
  <c r="N117" i="3"/>
  <c r="N98" i="3"/>
  <c r="N97" i="3"/>
  <c r="N96" i="3"/>
  <c r="N95" i="3"/>
  <c r="N59" i="3"/>
  <c r="N140" i="3"/>
  <c r="N139" i="3"/>
  <c r="N63" i="3"/>
  <c r="N94" i="3"/>
  <c r="N93" i="3"/>
  <c r="N240" i="3"/>
  <c r="N213" i="3"/>
  <c r="N58" i="3"/>
  <c r="N116" i="3"/>
  <c r="N92" i="3"/>
  <c r="N138" i="3"/>
  <c r="N91" i="3"/>
  <c r="N90" i="3"/>
  <c r="N89" i="3"/>
  <c r="N88" i="3"/>
  <c r="N87" i="3"/>
  <c r="N86" i="3"/>
  <c r="N85" i="3"/>
  <c r="N57" i="3"/>
  <c r="N232" i="3"/>
  <c r="N225" i="3"/>
  <c r="N217" i="3"/>
  <c r="N62" i="3"/>
  <c r="N84" i="3"/>
  <c r="N83" i="3"/>
  <c r="N227" i="3"/>
  <c r="N204" i="3"/>
  <c r="N82" i="3"/>
  <c r="N61" i="3"/>
  <c r="K45" i="3"/>
  <c r="L45" i="3" s="1"/>
  <c r="L60" i="2"/>
  <c r="L13" i="3"/>
  <c r="N13" i="3" s="1"/>
  <c r="K17" i="1"/>
  <c r="L17" i="1" s="1"/>
  <c r="N17" i="1" s="1"/>
  <c r="L38" i="3"/>
  <c r="N38" i="3" s="1"/>
  <c r="K183" i="3"/>
  <c r="M122" i="2"/>
  <c r="K37" i="3"/>
  <c r="L37" i="3" s="1"/>
  <c r="L49" i="3"/>
  <c r="N49" i="3" s="1"/>
  <c r="K127" i="2"/>
  <c r="L127" i="2" s="1"/>
  <c r="K52" i="3"/>
  <c r="L52" i="3" s="1"/>
  <c r="K8" i="3"/>
  <c r="L8" i="3" s="1"/>
  <c r="N8" i="3" s="1"/>
  <c r="N180" i="3"/>
  <c r="O180" i="3" s="1"/>
  <c r="K12" i="1"/>
  <c r="L12" i="1" s="1"/>
  <c r="N12" i="1" s="1"/>
  <c r="L23" i="1"/>
  <c r="N23" i="1" s="1"/>
  <c r="L36" i="2"/>
  <c r="L183" i="3" l="1"/>
  <c r="N183" i="3" s="1"/>
  <c r="L2" i="1"/>
  <c r="N2" i="1" s="1"/>
  <c r="O2" i="1" s="1"/>
  <c r="N40" i="1"/>
  <c r="O40" i="1" s="1"/>
  <c r="N45" i="3"/>
  <c r="O45" i="3" s="1"/>
  <c r="N56" i="3"/>
  <c r="N37" i="3"/>
  <c r="M127" i="2"/>
  <c r="N127" i="2" s="1"/>
  <c r="L61" i="2"/>
  <c r="M61" i="2" s="1"/>
  <c r="M25" i="6"/>
  <c r="M24" i="6"/>
  <c r="M10" i="6"/>
  <c r="M3" i="6"/>
  <c r="M48" i="6"/>
  <c r="M56" i="6"/>
  <c r="L11" i="1"/>
  <c r="N11" i="1" s="1"/>
  <c r="N87" i="1"/>
  <c r="O87" i="1" s="1"/>
  <c r="N81" i="1"/>
  <c r="L9" i="1"/>
  <c r="N86" i="1"/>
  <c r="L18" i="1"/>
  <c r="N18" i="1" s="1"/>
  <c r="O18" i="1" s="1"/>
  <c r="L93" i="1"/>
  <c r="N93" i="1" s="1"/>
  <c r="N3" i="1"/>
  <c r="M43" i="2"/>
  <c r="N43" i="2" s="1"/>
  <c r="L2" i="6"/>
  <c r="M2" i="6" s="1"/>
  <c r="N52" i="3" l="1"/>
  <c r="O52" i="3" s="1"/>
  <c r="L59" i="6"/>
  <c r="M59" i="6" s="1"/>
  <c r="O59" i="6" s="1"/>
  <c r="N111" i="1"/>
  <c r="L6" i="1"/>
  <c r="N6" i="1" s="1"/>
  <c r="N4" i="1"/>
  <c r="L5" i="1"/>
  <c r="N5" i="1" s="1"/>
  <c r="N108" i="1" l="1"/>
  <c r="O108" i="1" s="1"/>
  <c r="L18" i="6"/>
  <c r="M18" i="6" s="1"/>
  <c r="O18" i="6" s="1"/>
  <c r="M60" i="2"/>
  <c r="N60" i="2" s="1"/>
  <c r="N25" i="3"/>
  <c r="L160" i="3"/>
  <c r="N160" i="3" s="1"/>
  <c r="L43" i="3"/>
  <c r="N43" i="3" s="1"/>
  <c r="L212" i="3"/>
  <c r="N212" i="3" s="1"/>
  <c r="L42" i="3"/>
  <c r="N42" i="3" s="1"/>
  <c r="L40" i="3"/>
  <c r="N40" i="3" s="1"/>
  <c r="L20" i="3"/>
  <c r="N20" i="3" s="1"/>
  <c r="L46" i="3" l="1"/>
  <c r="N46" i="3" s="1"/>
  <c r="L39" i="3"/>
  <c r="N39" i="3" s="1"/>
  <c r="M137" i="2"/>
  <c r="O137" i="2" s="1"/>
  <c r="L86" i="2" l="1"/>
  <c r="M44" i="2" l="1"/>
  <c r="O56" i="3"/>
  <c r="O49" i="3"/>
  <c r="O38" i="3"/>
  <c r="O47" i="3"/>
  <c r="O20" i="3"/>
  <c r="O235" i="3"/>
  <c r="O17" i="3"/>
  <c r="O46" i="3"/>
  <c r="O216" i="3"/>
  <c r="O15" i="3"/>
  <c r="O212" i="3"/>
  <c r="O14" i="3"/>
  <c r="O43" i="3"/>
  <c r="O13" i="3"/>
  <c r="O51" i="3"/>
  <c r="O25" i="3"/>
  <c r="O42" i="3"/>
  <c r="O41" i="3"/>
  <c r="O243" i="3"/>
  <c r="O40" i="3"/>
  <c r="O12" i="3"/>
  <c r="O220" i="3"/>
  <c r="O230" i="3"/>
  <c r="O11" i="3"/>
  <c r="O39" i="3"/>
  <c r="O10" i="3"/>
  <c r="O9" i="3"/>
  <c r="O21" i="3"/>
  <c r="O37" i="3"/>
  <c r="O241" i="3"/>
  <c r="N190" i="3"/>
  <c r="O190" i="3" s="1"/>
  <c r="O200" i="3"/>
  <c r="N189" i="3"/>
  <c r="O189" i="3" s="1"/>
  <c r="O36" i="3"/>
  <c r="N188" i="3"/>
  <c r="O188" i="3" s="1"/>
  <c r="O226" i="3"/>
  <c r="O35" i="3"/>
  <c r="O34" i="3"/>
  <c r="O33" i="3"/>
  <c r="O32" i="3"/>
  <c r="N187" i="3"/>
  <c r="O187" i="3" s="1"/>
  <c r="O31" i="3"/>
  <c r="O214" i="3"/>
  <c r="O160" i="3"/>
  <c r="O215" i="3"/>
  <c r="O159" i="3"/>
  <c r="O202" i="3"/>
  <c r="O158" i="3"/>
  <c r="O157" i="3"/>
  <c r="O132" i="3"/>
  <c r="O131" i="3"/>
  <c r="O130" i="3"/>
  <c r="O156" i="3"/>
  <c r="O236" i="3"/>
  <c r="N186" i="3"/>
  <c r="O186" i="3" s="1"/>
  <c r="O30" i="3"/>
  <c r="O233" i="3"/>
  <c r="O234" i="3"/>
  <c r="O129" i="3"/>
  <c r="O29" i="3"/>
  <c r="O222" i="3"/>
  <c r="O155" i="3"/>
  <c r="O128" i="3"/>
  <c r="O113" i="3"/>
  <c r="N185" i="3"/>
  <c r="O185" i="3" s="1"/>
  <c r="O112" i="3"/>
  <c r="O24" i="3"/>
  <c r="O23" i="3"/>
  <c r="O238" i="3"/>
  <c r="O127" i="3"/>
  <c r="O72" i="3"/>
  <c r="N184" i="3"/>
  <c r="O184" i="3" s="1"/>
  <c r="O126" i="3"/>
  <c r="O125" i="3"/>
  <c r="O124" i="3"/>
  <c r="O209" i="3"/>
  <c r="O123" i="3"/>
  <c r="O122" i="3"/>
  <c r="O71" i="3"/>
  <c r="O154" i="3"/>
  <c r="O153" i="3"/>
  <c r="O121" i="3"/>
  <c r="O111" i="3"/>
  <c r="O199" i="3"/>
  <c r="O70" i="3"/>
  <c r="O239" i="3"/>
  <c r="O194" i="3"/>
  <c r="O120" i="3"/>
  <c r="O119" i="3"/>
  <c r="O152" i="3"/>
  <c r="O151" i="3"/>
  <c r="O69" i="3"/>
  <c r="O68" i="3"/>
  <c r="O205" i="3"/>
  <c r="O193" i="3"/>
  <c r="O183" i="3"/>
  <c r="N182" i="3"/>
  <c r="O182" i="3" s="1"/>
  <c r="O150" i="3"/>
  <c r="O229" i="3"/>
  <c r="O201" i="3"/>
  <c r="O67" i="3"/>
  <c r="O66" i="3"/>
  <c r="N181" i="3"/>
  <c r="O181" i="3" s="1"/>
  <c r="O196" i="3"/>
  <c r="O224" i="3"/>
  <c r="O65" i="3"/>
  <c r="O64" i="3"/>
  <c r="O6" i="3"/>
  <c r="O28" i="3"/>
  <c r="O27" i="3"/>
  <c r="N179" i="3"/>
  <c r="O179" i="3" s="1"/>
  <c r="O8" i="3"/>
  <c r="O5" i="3"/>
  <c r="O198" i="3"/>
  <c r="N178" i="3"/>
  <c r="O178" i="3" s="1"/>
  <c r="O218" i="3"/>
  <c r="N177" i="3"/>
  <c r="O177" i="3" s="1"/>
  <c r="O4" i="3"/>
  <c r="O221" i="3"/>
  <c r="O3" i="3"/>
  <c r="N176" i="3"/>
  <c r="O176" i="3" s="1"/>
  <c r="O2" i="3"/>
  <c r="O149" i="3"/>
  <c r="O148" i="3"/>
  <c r="O110" i="3"/>
  <c r="O109" i="3"/>
  <c r="O228" i="3"/>
  <c r="O147" i="3"/>
  <c r="O203" i="3"/>
  <c r="N175" i="3"/>
  <c r="O175" i="3" s="1"/>
  <c r="O108" i="3"/>
  <c r="O146" i="3"/>
  <c r="O107" i="3"/>
  <c r="O106" i="3"/>
  <c r="O26" i="3"/>
  <c r="O22" i="3"/>
  <c r="O7" i="3"/>
  <c r="O145" i="3"/>
  <c r="O144" i="3"/>
  <c r="O105" i="3"/>
  <c r="O219" i="3"/>
  <c r="O104" i="3"/>
  <c r="O60" i="3"/>
  <c r="O103" i="3"/>
  <c r="O102" i="3"/>
  <c r="O101" i="3"/>
  <c r="O143" i="3"/>
  <c r="O142" i="3"/>
  <c r="O135" i="3"/>
  <c r="O195" i="3"/>
  <c r="O141" i="3"/>
  <c r="O242" i="3"/>
  <c r="O210" i="3"/>
  <c r="O231" i="3"/>
  <c r="O118" i="3"/>
  <c r="O100" i="3"/>
  <c r="O99" i="3"/>
  <c r="O211" i="3"/>
  <c r="O117" i="3"/>
  <c r="O98" i="3"/>
  <c r="O97" i="3"/>
  <c r="O96" i="3"/>
  <c r="N174" i="3"/>
  <c r="O174" i="3" s="1"/>
  <c r="O95" i="3"/>
  <c r="O59" i="3"/>
  <c r="O140" i="3"/>
  <c r="O139" i="3"/>
  <c r="O63" i="3"/>
  <c r="O94" i="3"/>
  <c r="O93" i="3"/>
  <c r="O240" i="3"/>
  <c r="N173" i="3"/>
  <c r="O173" i="3" s="1"/>
  <c r="O213" i="3"/>
  <c r="O58" i="3"/>
  <c r="O116" i="3"/>
  <c r="O92" i="3"/>
  <c r="O138" i="3"/>
  <c r="O91" i="3"/>
  <c r="O90" i="3"/>
  <c r="O89" i="3"/>
  <c r="O88" i="3"/>
  <c r="O87" i="3"/>
  <c r="O86" i="3"/>
  <c r="O85" i="3"/>
  <c r="O57" i="3"/>
  <c r="O232" i="3"/>
  <c r="O225" i="3"/>
  <c r="O217" i="3"/>
  <c r="O62" i="3"/>
  <c r="O84" i="3"/>
  <c r="O83" i="3"/>
  <c r="O227" i="3"/>
  <c r="O204" i="3"/>
  <c r="O82" i="3"/>
  <c r="O61" i="3"/>
  <c r="N172" i="3"/>
  <c r="O172" i="3" s="1"/>
  <c r="N81" i="3"/>
  <c r="O81" i="3" s="1"/>
  <c r="N80" i="3"/>
  <c r="O80" i="3" s="1"/>
  <c r="N79" i="3"/>
  <c r="O79" i="3" s="1"/>
  <c r="N115" i="3"/>
  <c r="O115" i="3" s="1"/>
  <c r="N78" i="3"/>
  <c r="O78" i="3" s="1"/>
  <c r="N77" i="3"/>
  <c r="O77" i="3" s="1"/>
  <c r="N114" i="3"/>
  <c r="O114" i="3" s="1"/>
  <c r="N171" i="3"/>
  <c r="O171" i="3" s="1"/>
  <c r="N137" i="3"/>
  <c r="O137" i="3" s="1"/>
  <c r="N170" i="3"/>
  <c r="O170" i="3" s="1"/>
  <c r="O134" i="3"/>
  <c r="N76" i="3"/>
  <c r="O76" i="3" s="1"/>
  <c r="N75" i="3"/>
  <c r="O75" i="3" s="1"/>
  <c r="N136" i="3"/>
  <c r="O136" i="3" s="1"/>
  <c r="N74" i="3"/>
  <c r="O74" i="3" s="1"/>
  <c r="N133" i="3"/>
  <c r="O133" i="3" s="1"/>
  <c r="N73" i="3"/>
  <c r="O73" i="3" s="1"/>
  <c r="M46" i="2"/>
  <c r="M102" i="2"/>
  <c r="M2" i="2"/>
  <c r="N2" i="2" s="1"/>
  <c r="M40" i="2"/>
  <c r="M59" i="2"/>
  <c r="M58" i="2"/>
  <c r="M126" i="2"/>
  <c r="M39" i="2"/>
  <c r="M57" i="2"/>
  <c r="N57" i="2" s="1"/>
  <c r="M38" i="2"/>
  <c r="N38" i="2" s="1"/>
  <c r="M37" i="2"/>
  <c r="M101" i="2"/>
  <c r="N101" i="2" s="1"/>
  <c r="M4" i="2"/>
  <c r="N4" i="2" s="1"/>
  <c r="M132" i="2"/>
  <c r="M106" i="2"/>
  <c r="M100" i="2"/>
  <c r="M99" i="2"/>
  <c r="M98" i="2"/>
  <c r="M45" i="2"/>
  <c r="M56" i="2"/>
  <c r="M36" i="2"/>
  <c r="O36" i="2" s="1"/>
  <c r="M35" i="2"/>
  <c r="M15" i="2"/>
  <c r="M34" i="2"/>
  <c r="M14" i="2"/>
  <c r="M110" i="2"/>
  <c r="M13" i="2"/>
  <c r="M7" i="2"/>
  <c r="M33" i="2"/>
  <c r="M97" i="2"/>
  <c r="M74" i="2"/>
  <c r="M96" i="2"/>
  <c r="M55" i="2"/>
  <c r="M95" i="2"/>
  <c r="M94" i="2"/>
  <c r="M73" i="2"/>
  <c r="M93" i="2"/>
  <c r="M32" i="2"/>
  <c r="M117" i="2"/>
  <c r="M138" i="2"/>
  <c r="N138" i="2" s="1"/>
  <c r="M133" i="2"/>
  <c r="M31" i="2"/>
  <c r="M30" i="2"/>
  <c r="M29" i="2"/>
  <c r="M28" i="2"/>
  <c r="M92" i="2"/>
  <c r="M27" i="2"/>
  <c r="M77" i="2"/>
  <c r="M26" i="2"/>
  <c r="M54" i="2"/>
  <c r="M25" i="2"/>
  <c r="M121" i="2"/>
  <c r="M91" i="2"/>
  <c r="M84" i="2"/>
  <c r="M116" i="2"/>
  <c r="M24" i="2"/>
  <c r="M51" i="2"/>
  <c r="N51" i="2" s="1"/>
  <c r="M6" i="2"/>
  <c r="M49" i="2"/>
  <c r="M65" i="2"/>
  <c r="M124" i="2"/>
  <c r="M129" i="2"/>
  <c r="M23" i="2"/>
  <c r="M22" i="2"/>
  <c r="M83" i="2"/>
  <c r="M21" i="2"/>
  <c r="M76" i="2"/>
  <c r="M90" i="2"/>
  <c r="M89" i="2"/>
  <c r="M118" i="2"/>
  <c r="M82" i="2"/>
  <c r="M48" i="2"/>
  <c r="M131" i="2"/>
  <c r="N131" i="2" s="1"/>
  <c r="M120" i="2"/>
  <c r="M12" i="2"/>
  <c r="M88" i="2"/>
  <c r="M70" i="2"/>
  <c r="M11" i="2"/>
  <c r="M10" i="2"/>
  <c r="M68" i="2"/>
  <c r="M87" i="2"/>
  <c r="M3" i="2"/>
  <c r="N3" i="2" s="1"/>
  <c r="M47" i="2"/>
  <c r="M50" i="2"/>
  <c r="M20" i="2"/>
  <c r="M86" i="2"/>
  <c r="M130" i="2"/>
  <c r="M128" i="2"/>
  <c r="M119" i="2"/>
  <c r="M81" i="2"/>
  <c r="M80" i="2"/>
  <c r="M79" i="2"/>
  <c r="M125" i="2"/>
  <c r="M9" i="2"/>
  <c r="M19" i="2"/>
  <c r="M18" i="2"/>
  <c r="M8" i="2"/>
  <c r="M5" i="2"/>
  <c r="M17" i="2"/>
  <c r="M135" i="2"/>
  <c r="M63" i="2"/>
  <c r="M78" i="2"/>
  <c r="M109" i="2"/>
  <c r="M134" i="2"/>
  <c r="M66" i="2"/>
  <c r="M69" i="2"/>
  <c r="M85" i="2"/>
  <c r="M53" i="2"/>
  <c r="M71" i="2"/>
  <c r="N60" i="1"/>
  <c r="O60" i="1" s="1"/>
  <c r="N66" i="1"/>
  <c r="O66" i="1" s="1"/>
  <c r="N59" i="1"/>
  <c r="O59" i="1" s="1"/>
  <c r="N79" i="1"/>
  <c r="O79" i="1" s="1"/>
  <c r="O5" i="1"/>
  <c r="O82" i="1"/>
  <c r="N109" i="1"/>
  <c r="O109" i="1" s="1"/>
  <c r="N34" i="1"/>
  <c r="O34" i="1" s="1"/>
  <c r="N107" i="1"/>
  <c r="O107" i="1" s="1"/>
  <c r="N52" i="1"/>
  <c r="O52" i="1" s="1"/>
  <c r="N22" i="1"/>
  <c r="O22" i="1" s="1"/>
  <c r="N38" i="1"/>
  <c r="O38" i="1" s="1"/>
  <c r="O4" i="1"/>
  <c r="N41" i="1"/>
  <c r="O41" i="1" s="1"/>
  <c r="N78" i="1"/>
  <c r="O78" i="1" s="1"/>
  <c r="N105" i="1"/>
  <c r="O105" i="1" s="1"/>
  <c r="N28" i="1"/>
  <c r="O28" i="1" s="1"/>
  <c r="N27" i="1"/>
  <c r="O27" i="1" s="1"/>
  <c r="N10" i="1"/>
  <c r="O10" i="1" s="1"/>
  <c r="N104" i="1"/>
  <c r="O104" i="1" s="1"/>
  <c r="N32" i="1"/>
  <c r="O32" i="1" s="1"/>
  <c r="N74" i="1"/>
  <c r="O74" i="1" s="1"/>
  <c r="N45" i="1"/>
  <c r="O45" i="1" s="1"/>
  <c r="O110" i="1"/>
  <c r="N102" i="1"/>
  <c r="O102" i="1" s="1"/>
  <c r="N77" i="1"/>
  <c r="O77" i="1" s="1"/>
  <c r="N89" i="1"/>
  <c r="O89" i="1" s="1"/>
  <c r="N37" i="1"/>
  <c r="O37" i="1" s="1"/>
  <c r="N70" i="1"/>
  <c r="O70" i="1" s="1"/>
  <c r="N31" i="1"/>
  <c r="O31" i="1" s="1"/>
  <c r="N33" i="1"/>
  <c r="O33" i="1" s="1"/>
  <c r="N55" i="1"/>
  <c r="O55" i="1" s="1"/>
  <c r="N106" i="1"/>
  <c r="O106" i="1" s="1"/>
  <c r="N50" i="1"/>
  <c r="O50" i="1" s="1"/>
  <c r="N113" i="1"/>
  <c r="O113" i="1" s="1"/>
  <c r="O111" i="1"/>
  <c r="O112" i="1"/>
  <c r="N54" i="1"/>
  <c r="O54" i="1" s="1"/>
  <c r="N61" i="1"/>
  <c r="O61" i="1" s="1"/>
  <c r="N16" i="1"/>
  <c r="O16" i="1" s="1"/>
  <c r="N13" i="1"/>
  <c r="O13" i="1" s="1"/>
  <c r="N98" i="1"/>
  <c r="O98" i="1" s="1"/>
  <c r="N49" i="1"/>
  <c r="O49" i="1" s="1"/>
  <c r="N36" i="1"/>
  <c r="O36" i="1" s="1"/>
  <c r="N35" i="1"/>
  <c r="O35" i="1" s="1"/>
  <c r="N75" i="1"/>
  <c r="O75" i="1" s="1"/>
  <c r="O17" i="1"/>
  <c r="O3" i="1"/>
  <c r="N30" i="1"/>
  <c r="O30" i="1" s="1"/>
  <c r="O90" i="1"/>
  <c r="N76" i="1"/>
  <c r="O76" i="1" s="1"/>
  <c r="N21" i="1"/>
  <c r="O21" i="1" s="1"/>
  <c r="N56" i="1"/>
  <c r="O56" i="1" s="1"/>
  <c r="N8" i="1"/>
  <c r="O8" i="1" s="1"/>
  <c r="N20" i="1"/>
  <c r="O20" i="1" s="1"/>
  <c r="O80" i="1"/>
  <c r="N42" i="1"/>
  <c r="O42" i="1" s="1"/>
  <c r="O93" i="1"/>
  <c r="O12" i="1"/>
  <c r="N101" i="1"/>
  <c r="O101" i="1" s="1"/>
  <c r="N44" i="1"/>
  <c r="O44" i="1" s="1"/>
  <c r="N94" i="1"/>
  <c r="O94" i="1" s="1"/>
  <c r="N73" i="1"/>
  <c r="O73" i="1" s="1"/>
  <c r="N51" i="1"/>
  <c r="O51" i="1" s="1"/>
  <c r="N84" i="1"/>
  <c r="O84" i="1" s="1"/>
  <c r="N14" i="1"/>
  <c r="O14" i="1" s="1"/>
  <c r="O11" i="1"/>
  <c r="O81" i="1"/>
  <c r="N9" i="1"/>
  <c r="O9" i="1" s="1"/>
  <c r="O6" i="1"/>
  <c r="N100" i="1"/>
  <c r="O100" i="1" s="1"/>
  <c r="N99" i="1"/>
  <c r="O99" i="1" s="1"/>
  <c r="N29" i="1"/>
  <c r="O29" i="1" s="1"/>
  <c r="N53" i="1"/>
  <c r="O53" i="1" s="1"/>
  <c r="N88" i="1"/>
  <c r="O88" i="1" s="1"/>
  <c r="N7" i="1"/>
  <c r="O7" i="1" s="1"/>
  <c r="N96" i="1"/>
  <c r="O96" i="1" s="1"/>
  <c r="O97" i="1"/>
  <c r="N103" i="1"/>
  <c r="O103" i="1" s="1"/>
  <c r="N69" i="1"/>
  <c r="O69" i="1" s="1"/>
  <c r="N47" i="1"/>
  <c r="N71" i="1"/>
  <c r="N19" i="1"/>
  <c r="N68" i="1"/>
  <c r="O68" i="1" s="1"/>
  <c r="N67" i="1"/>
  <c r="N57" i="1"/>
  <c r="N24" i="1"/>
  <c r="O24" i="1" s="1"/>
  <c r="N43" i="1"/>
  <c r="N46" i="1"/>
  <c r="O46" i="1" s="1"/>
  <c r="N48" i="1"/>
  <c r="N72" i="1"/>
  <c r="O72" i="1" s="1"/>
  <c r="N26" i="1"/>
  <c r="O26" i="1" s="1"/>
  <c r="N25" i="1"/>
  <c r="N15" i="1"/>
  <c r="O15" i="1" s="1"/>
  <c r="O86" i="1"/>
</calcChain>
</file>

<file path=xl/sharedStrings.xml><?xml version="1.0" encoding="utf-8"?>
<sst xmlns="http://schemas.openxmlformats.org/spreadsheetml/2006/main" count="5422" uniqueCount="1653">
  <si>
    <t>Customer</t>
  </si>
  <si>
    <t>ChassisNo</t>
  </si>
  <si>
    <t>Date Arrived</t>
  </si>
  <si>
    <t>ShipName</t>
  </si>
  <si>
    <t>KMS</t>
  </si>
  <si>
    <t>Year</t>
  </si>
  <si>
    <t>Make</t>
  </si>
  <si>
    <t>Model</t>
  </si>
  <si>
    <t>NZ Landed cost</t>
  </si>
  <si>
    <t>other expense</t>
  </si>
  <si>
    <t>less add-on IBC</t>
  </si>
  <si>
    <t>Total Cost</t>
  </si>
  <si>
    <t>KAP Location</t>
  </si>
  <si>
    <t>comments</t>
  </si>
  <si>
    <t>Wholesale North-Non MaxCare</t>
  </si>
  <si>
    <t>Adria Ace(KZ)</t>
  </si>
  <si>
    <t>SUBARU</t>
  </si>
  <si>
    <t>LEGACY TOURING WAGON</t>
  </si>
  <si>
    <t>tcg</t>
  </si>
  <si>
    <t xml:space="preserve"> </t>
  </si>
  <si>
    <t>WBANU52090CW40854</t>
  </si>
  <si>
    <t>BMW</t>
  </si>
  <si>
    <t>525i</t>
  </si>
  <si>
    <t>WBAPH36010NN20921</t>
  </si>
  <si>
    <t>Venus Spirit(KB)</t>
  </si>
  <si>
    <t>325i</t>
  </si>
  <si>
    <t>flyaway</t>
  </si>
  <si>
    <t>AZE156-1030818</t>
  </si>
  <si>
    <t>Frontier Ace(NG)</t>
  </si>
  <si>
    <t>TOYOTA</t>
  </si>
  <si>
    <t>BLADE</t>
  </si>
  <si>
    <t>SAJKG51S7AYJ62827</t>
  </si>
  <si>
    <t>Frontier Ace(KB)</t>
  </si>
  <si>
    <t>JAGUAR</t>
  </si>
  <si>
    <t>X TYPE</t>
  </si>
  <si>
    <t>WDD2120262A922802</t>
  </si>
  <si>
    <t>Meridian Ace(KZ)</t>
  </si>
  <si>
    <t>MERCEDES-BENZ</t>
  </si>
  <si>
    <t>E350</t>
  </si>
  <si>
    <t>YA5-029333</t>
  </si>
  <si>
    <t>Meridian Ace(KB)</t>
  </si>
  <si>
    <t>EXIGA</t>
  </si>
  <si>
    <t>GRS191-0006971</t>
  </si>
  <si>
    <t>Garnet Ace(NG)</t>
  </si>
  <si>
    <t>LEXUS</t>
  </si>
  <si>
    <t>GS350</t>
  </si>
  <si>
    <t>bill russ</t>
  </si>
  <si>
    <t>RK5-1039858</t>
  </si>
  <si>
    <t>Garnet Ace(KB)</t>
  </si>
  <si>
    <t>HONDA</t>
  </si>
  <si>
    <t>STEPWAGON</t>
  </si>
  <si>
    <t>Garnet Ace(KZ)</t>
  </si>
  <si>
    <t>CR-V</t>
  </si>
  <si>
    <t>WDB2110542A841977</t>
  </si>
  <si>
    <t>E280</t>
  </si>
  <si>
    <t>WDD2120542A057556</t>
  </si>
  <si>
    <t>E300</t>
  </si>
  <si>
    <t>keppler Select</t>
  </si>
  <si>
    <t>RR5-1003610</t>
  </si>
  <si>
    <t>Gardenia Ace(KZ)</t>
  </si>
  <si>
    <t>ELYSION</t>
  </si>
  <si>
    <t>WDD2052402F261501</t>
  </si>
  <si>
    <t>Gardenia Ace(KB)</t>
  </si>
  <si>
    <t>C180</t>
  </si>
  <si>
    <t>ideal Motors</t>
  </si>
  <si>
    <t>WBAPG36080NM93848</t>
  </si>
  <si>
    <t>320i</t>
  </si>
  <si>
    <t>FRR90-7033372</t>
  </si>
  <si>
    <t>8/31/2021</t>
  </si>
  <si>
    <t>BELUGA  ACE(KB)</t>
  </si>
  <si>
    <t>ISUZU</t>
  </si>
  <si>
    <t>FORWARD</t>
  </si>
  <si>
    <t>pts-compliance</t>
  </si>
  <si>
    <t>compliance invoice</t>
  </si>
  <si>
    <t>AGL10-2426556</t>
  </si>
  <si>
    <t>Dugong Ace(KB)</t>
  </si>
  <si>
    <t>RX270</t>
  </si>
  <si>
    <t>MAZDA</t>
  </si>
  <si>
    <t>PREMACY</t>
  </si>
  <si>
    <t>Emerald Ace(KZ)</t>
  </si>
  <si>
    <t>BR9-038823</t>
  </si>
  <si>
    <t>Emerald Ace(YKK)</t>
  </si>
  <si>
    <t>ATENZA WAGON</t>
  </si>
  <si>
    <t>WBA1A12020J208697</t>
  </si>
  <si>
    <t>116i</t>
  </si>
  <si>
    <t>WBA3D36010NP70248</t>
  </si>
  <si>
    <t>320d</t>
  </si>
  <si>
    <t>WBAKB42040CY82356</t>
  </si>
  <si>
    <t>Emerald Ace(KB)</t>
  </si>
  <si>
    <t>740iL</t>
  </si>
  <si>
    <t>WDC1569462J025626</t>
  </si>
  <si>
    <t>GLA250</t>
  </si>
  <si>
    <t>WDD2040492A862228</t>
  </si>
  <si>
    <t>WDD2120262B120547</t>
  </si>
  <si>
    <t>Sharp Motors</t>
  </si>
  <si>
    <t>NT32-094415</t>
  </si>
  <si>
    <t>NISSAN</t>
  </si>
  <si>
    <t>X-TRAIL</t>
  </si>
  <si>
    <t>compliance,paint and panel, mechanical check invoice</t>
  </si>
  <si>
    <t>TNZ51-002529</t>
  </si>
  <si>
    <t>MURANO</t>
  </si>
  <si>
    <t>compliance and mechanical check invoice</t>
  </si>
  <si>
    <t>WBA1A12010J211901</t>
  </si>
  <si>
    <t>1 SERIES</t>
  </si>
  <si>
    <t>RE4-1300122</t>
  </si>
  <si>
    <t>Wholesale North - Maxcare</t>
  </si>
  <si>
    <t>LY3P-123271</t>
  </si>
  <si>
    <t>MPV</t>
  </si>
  <si>
    <t>WBAVL32080VN78729</t>
  </si>
  <si>
    <t>X1</t>
  </si>
  <si>
    <t>with compliance and mechanical check invoice</t>
  </si>
  <si>
    <t>BR9-021277</t>
  </si>
  <si>
    <t>LEGACY OUTBACK</t>
  </si>
  <si>
    <t>Nova Motors</t>
  </si>
  <si>
    <t>BR9-044403</t>
  </si>
  <si>
    <t>BR9-066231</t>
  </si>
  <si>
    <t>BRM-010279</t>
  </si>
  <si>
    <t>GJ2FW-200218</t>
  </si>
  <si>
    <t>RB3-1011799</t>
  </si>
  <si>
    <t>ODYSSEY</t>
  </si>
  <si>
    <t>RB3-1305190</t>
  </si>
  <si>
    <t>with compliance and mechanical invoice</t>
  </si>
  <si>
    <t>WAUZZZ8K6CA011233</t>
  </si>
  <si>
    <t>AUDI</t>
  </si>
  <si>
    <t>A4</t>
  </si>
  <si>
    <t>WBA1A12060J204457</t>
  </si>
  <si>
    <t>WBA3D36070NP78600</t>
  </si>
  <si>
    <t>3 SERIES</t>
  </si>
  <si>
    <t>WBAPG36050NN37272</t>
  </si>
  <si>
    <t>WBAPG36060NM94738</t>
  </si>
  <si>
    <t>WBAVB56020NK85658</t>
  </si>
  <si>
    <t>323i</t>
  </si>
  <si>
    <t>with compliance WOF and Diagnostic scanning Invoice</t>
  </si>
  <si>
    <t>WBAVL32080VP90109</t>
  </si>
  <si>
    <t>ideal</t>
  </si>
  <si>
    <t>YA4-020019</t>
  </si>
  <si>
    <t>with compliance and paint and panel invoices</t>
  </si>
  <si>
    <t>KE2AW-202144</t>
  </si>
  <si>
    <t>CX-5</t>
  </si>
  <si>
    <t>WBA3N32090F710005</t>
  </si>
  <si>
    <t>428 I COUPE</t>
  </si>
  <si>
    <t>WDC1569422J053866</t>
  </si>
  <si>
    <t>GLA CLASS</t>
  </si>
  <si>
    <t>VOLVO</t>
  </si>
  <si>
    <t>RB3-1207115</t>
  </si>
  <si>
    <t>WBA3D36000NP74078</t>
  </si>
  <si>
    <t>WBA1A12070J212308</t>
  </si>
  <si>
    <t>WDB2110562B236468</t>
  </si>
  <si>
    <t>WAUZZZ8K4BA007423</t>
  </si>
  <si>
    <t>Sunrise Ace(KB)</t>
  </si>
  <si>
    <t>A4 AVANT</t>
  </si>
  <si>
    <t>XZU368-1001652</t>
  </si>
  <si>
    <t>HINO</t>
  </si>
  <si>
    <t>DUTRO</t>
  </si>
  <si>
    <t>karbase</t>
  </si>
  <si>
    <t>WMWSV32020T152379</t>
  </si>
  <si>
    <t>MINI COOPER</t>
  </si>
  <si>
    <t>DJ5FS-135074</t>
  </si>
  <si>
    <t>DEMIO</t>
  </si>
  <si>
    <t>BS9-026476</t>
  </si>
  <si>
    <t>OUTBACK</t>
  </si>
  <si>
    <t>Triumph Ace(YKK)</t>
  </si>
  <si>
    <t>MITSUBISHI</t>
  </si>
  <si>
    <t>FR4-1000441</t>
  </si>
  <si>
    <t>JADE</t>
  </si>
  <si>
    <t>NT31-113609</t>
  </si>
  <si>
    <t>DK5FW-125227</t>
  </si>
  <si>
    <t>Triumph Ace(KB)</t>
  </si>
  <si>
    <t>CX-3</t>
  </si>
  <si>
    <t>GJ2FW-102066</t>
  </si>
  <si>
    <t>Tranquil Ace(KB)</t>
  </si>
  <si>
    <t>WAUZZZ4F7BN037551</t>
  </si>
  <si>
    <t>01/13/2022</t>
  </si>
  <si>
    <t>A6</t>
  </si>
  <si>
    <t>WBA3D36030NP70347</t>
  </si>
  <si>
    <t>Tranquil Ace(NG)</t>
  </si>
  <si>
    <t>with compliance, paint and panel and mechanical invoice</t>
  </si>
  <si>
    <t>CWEFW-120101</t>
  </si>
  <si>
    <t>Orca Ace(KZ)</t>
  </si>
  <si>
    <t>rons</t>
  </si>
  <si>
    <t>S210P-0133007</t>
  </si>
  <si>
    <t>Meridian Ace(YKK)</t>
  </si>
  <si>
    <t>DAIHATSU</t>
  </si>
  <si>
    <t>HI-JET</t>
  </si>
  <si>
    <t>KE2FW-124084</t>
  </si>
  <si>
    <t>KE2FW-129085</t>
  </si>
  <si>
    <t>NT31-025970</t>
  </si>
  <si>
    <t>Orca Ace(KB)</t>
  </si>
  <si>
    <t>NHP10-2422274</t>
  </si>
  <si>
    <t>AQUA</t>
  </si>
  <si>
    <t>RE4-1200569</t>
  </si>
  <si>
    <t>WBA3D320X0F287941</t>
  </si>
  <si>
    <t>WBAKA82000CW13264</t>
  </si>
  <si>
    <t>7 SERIES</t>
  </si>
  <si>
    <t>YV1MW434BB2626992</t>
  </si>
  <si>
    <t>V50</t>
  </si>
  <si>
    <t>BR9-063725</t>
  </si>
  <si>
    <t>GP7-007035</t>
  </si>
  <si>
    <t>IMPREZA SPORTS</t>
  </si>
  <si>
    <t>GP1-1043105</t>
  </si>
  <si>
    <t>Prestige Ace(KB)</t>
  </si>
  <si>
    <t>Honda</t>
  </si>
  <si>
    <t>Fit Hybrid</t>
  </si>
  <si>
    <t>NHP10-2354372</t>
  </si>
  <si>
    <t>WAUZZZ8K7BA039928</t>
  </si>
  <si>
    <t>WAUZZZ8V4EA058936</t>
  </si>
  <si>
    <t>A3</t>
  </si>
  <si>
    <t>WMWZC32090WM21979</t>
  </si>
  <si>
    <t>MINI</t>
  </si>
  <si>
    <t>COOPER</t>
  </si>
  <si>
    <t>WVGZZZ5NZEW022694</t>
  </si>
  <si>
    <t>Prestige Ace(KZ)</t>
  </si>
  <si>
    <t>VOLKSWAGEN</t>
  </si>
  <si>
    <t>TIGUAN</t>
  </si>
  <si>
    <t>YA4-016867</t>
  </si>
  <si>
    <t xml:space="preserve">YA4-020903 </t>
  </si>
  <si>
    <t>ZVW30-5158529</t>
  </si>
  <si>
    <t>PRIUS</t>
  </si>
  <si>
    <t>BR9-020945</t>
  </si>
  <si>
    <t>DK5FW-114471</t>
  </si>
  <si>
    <t>GJ2FW-102967</t>
  </si>
  <si>
    <t>GP7-072183</t>
  </si>
  <si>
    <t>IMPREZA XV</t>
  </si>
  <si>
    <t>GY50-500137</t>
  </si>
  <si>
    <t>FUGA</t>
  </si>
  <si>
    <t>HY51-501041</t>
  </si>
  <si>
    <t>FUGA Hybrid</t>
  </si>
  <si>
    <t>KE2AW-104419</t>
  </si>
  <si>
    <t>Prestige Ace(YKK)</t>
  </si>
  <si>
    <t>KSP130-2130089</t>
  </si>
  <si>
    <t>VITZ</t>
  </si>
  <si>
    <t>NT31-030503</t>
  </si>
  <si>
    <t>RB3-1009156</t>
  </si>
  <si>
    <t>SJ5-004719</t>
  </si>
  <si>
    <t>FORESTER</t>
  </si>
  <si>
    <t>WDD2040412A110474</t>
  </si>
  <si>
    <t>C class</t>
  </si>
  <si>
    <t>DEJFS-117805</t>
  </si>
  <si>
    <t>DJ3FS-155275</t>
  </si>
  <si>
    <t>GJ2FW-100555</t>
  </si>
  <si>
    <t>HFC26-158067</t>
  </si>
  <si>
    <t>SERENA</t>
  </si>
  <si>
    <t>NT31-207147</t>
  </si>
  <si>
    <t>TNT31-005784</t>
  </si>
  <si>
    <t>WBA3K32070F787917</t>
  </si>
  <si>
    <t>3 series touring</t>
  </si>
  <si>
    <t>WVWZZZ1KZCW163474</t>
  </si>
  <si>
    <t>GOLF</t>
  </si>
  <si>
    <t>DK5FW-119716</t>
  </si>
  <si>
    <t>NHP10-2073699</t>
  </si>
  <si>
    <t>HFC26-139284</t>
  </si>
  <si>
    <t>KE2FW-130206</t>
  </si>
  <si>
    <t>compliance and grooming invoice</t>
  </si>
  <si>
    <t>YAM-004505</t>
  </si>
  <si>
    <t>KSP130-2185854</t>
  </si>
  <si>
    <t>WDD2120542A037222</t>
  </si>
  <si>
    <t>WAUZZZ8V9GA181599</t>
  </si>
  <si>
    <t>GJ2FW-108208</t>
  </si>
  <si>
    <t xml:space="preserve">Triumph Ace </t>
  </si>
  <si>
    <t>GP1-1238117</t>
  </si>
  <si>
    <t>fit</t>
  </si>
  <si>
    <t>BR9-030529</t>
  </si>
  <si>
    <t>Legacy</t>
  </si>
  <si>
    <t>CW5W-0015022</t>
  </si>
  <si>
    <t>outlander</t>
  </si>
  <si>
    <t>DK5FW-117099</t>
  </si>
  <si>
    <t>cx-3</t>
  </si>
  <si>
    <t>NT31-059439</t>
  </si>
  <si>
    <t>V36-110987</t>
  </si>
  <si>
    <t>skyline</t>
  </si>
  <si>
    <t>WAUZZZ8K09A030983</t>
  </si>
  <si>
    <t>audi</t>
  </si>
  <si>
    <t>AZK10-2059060</t>
  </si>
  <si>
    <t>SAI</t>
  </si>
  <si>
    <t>CW5W-5101049</t>
  </si>
  <si>
    <t>Palmela(YKK)</t>
  </si>
  <si>
    <t>OUTLANDER</t>
  </si>
  <si>
    <t>Clover Ace</t>
  </si>
  <si>
    <t>2013</t>
  </si>
  <si>
    <t>NKE165-7043485</t>
  </si>
  <si>
    <t>2014</t>
  </si>
  <si>
    <t>COROLLA FIELDER</t>
  </si>
  <si>
    <t>WVWZZZ6RZBU012049</t>
  </si>
  <si>
    <t>2010</t>
  </si>
  <si>
    <t>POLO</t>
  </si>
  <si>
    <t>ZVW30-5602702</t>
  </si>
  <si>
    <t>ZVW41-3132445</t>
  </si>
  <si>
    <t>2012</t>
  </si>
  <si>
    <t>PRIUS ALPHA</t>
  </si>
  <si>
    <t>WVWZZZ6RZBU028847</t>
  </si>
  <si>
    <t>6/19/2022</t>
  </si>
  <si>
    <t xml:space="preserve">      KMS</t>
  </si>
  <si>
    <t>DateArrive</t>
  </si>
  <si>
    <t>other expenses</t>
  </si>
  <si>
    <t>WS-Price</t>
  </si>
  <si>
    <t>Location</t>
  </si>
  <si>
    <t>Updated Location</t>
  </si>
  <si>
    <t xml:space="preserve"> (KAP) -  Cancelled account</t>
  </si>
  <si>
    <t>SZ5F24-030374</t>
  </si>
  <si>
    <t>Grand Pearl(KB)</t>
  </si>
  <si>
    <t>ATLAS</t>
  </si>
  <si>
    <t>1A8GCE7216Y154181</t>
  </si>
  <si>
    <t>5/27/2018</t>
  </si>
  <si>
    <t>CHRYSLER</t>
  </si>
  <si>
    <t>300C</t>
  </si>
  <si>
    <t>BM9-017645</t>
  </si>
  <si>
    <t>LEGACY</t>
  </si>
  <si>
    <t>CV5W-0104698</t>
  </si>
  <si>
    <t>Clover Ace(KB)</t>
  </si>
  <si>
    <t>DELICA</t>
  </si>
  <si>
    <t>no photos</t>
  </si>
  <si>
    <t>VAS</t>
  </si>
  <si>
    <t>TOU(41)82422TOU</t>
  </si>
  <si>
    <t>Glovis Clipper(KZ)</t>
  </si>
  <si>
    <t>CHEVROLET</t>
  </si>
  <si>
    <t>CORVETTE</t>
  </si>
  <si>
    <t>VRE25-029202</t>
  </si>
  <si>
    <t>CARAVAN</t>
  </si>
  <si>
    <t>NT31-020534</t>
  </si>
  <si>
    <t>Swallow Ace(KB)</t>
  </si>
  <si>
    <t>Flyaway</t>
  </si>
  <si>
    <t>AZE0-118195</t>
  </si>
  <si>
    <t>LEAF</t>
  </si>
  <si>
    <t>TCG</t>
  </si>
  <si>
    <t>WBAUD32000PF45367</t>
  </si>
  <si>
    <t>Swallow Ace(NG)</t>
  </si>
  <si>
    <t>120i</t>
  </si>
  <si>
    <t>vas-uncompliable</t>
  </si>
  <si>
    <t>AZE0-120754</t>
  </si>
  <si>
    <t>Triton Ace(KB)</t>
  </si>
  <si>
    <t>flyaway storage</t>
  </si>
  <si>
    <t>KE2FW-113970</t>
  </si>
  <si>
    <t>AZE0-109002</t>
  </si>
  <si>
    <t>WDD2452322J506474</t>
  </si>
  <si>
    <t>Triton Ace(KZ)</t>
  </si>
  <si>
    <t>B CLASS</t>
  </si>
  <si>
    <t>empire auto</t>
  </si>
  <si>
    <t>BR9-020610</t>
  </si>
  <si>
    <t>Noble Ace(KB)</t>
  </si>
  <si>
    <t>Bill russ</t>
  </si>
  <si>
    <t>ANE10-0029503</t>
  </si>
  <si>
    <t>WISH</t>
  </si>
  <si>
    <t>cooks trading</t>
  </si>
  <si>
    <t>ANE11-0030475</t>
  </si>
  <si>
    <t>Noble Ace(KZ)</t>
  </si>
  <si>
    <t>NJ10-008870</t>
  </si>
  <si>
    <t>DUALIS</t>
  </si>
  <si>
    <t>NJ10-042203</t>
  </si>
  <si>
    <t>WBANU52090CZ89044</t>
  </si>
  <si>
    <t>525I</t>
  </si>
  <si>
    <t>WDD2042412F277541</t>
  </si>
  <si>
    <t>C200</t>
  </si>
  <si>
    <t>WDD2452322J304638</t>
  </si>
  <si>
    <t>B170</t>
  </si>
  <si>
    <t>WDD2452322J346796</t>
  </si>
  <si>
    <t>JC-6,000.00</t>
  </si>
  <si>
    <t>WVWZZZ1KZ7U018903</t>
  </si>
  <si>
    <t>JC-8,000.00</t>
  </si>
  <si>
    <t>WVWZZZ1KZ8M256866</t>
  </si>
  <si>
    <t>GOLF VARIANT</t>
  </si>
  <si>
    <t>WVWZZZ1KZAM617214</t>
  </si>
  <si>
    <t>WVWZZZ3CZ7P136478</t>
  </si>
  <si>
    <t>PASSAT</t>
  </si>
  <si>
    <t>BRM-015828</t>
  </si>
  <si>
    <t>vas</t>
  </si>
  <si>
    <t>UC1-1204941</t>
  </si>
  <si>
    <t>INSPIRE</t>
  </si>
  <si>
    <t>WBAUE12000PC77454</t>
  </si>
  <si>
    <t>116i 1.6</t>
  </si>
  <si>
    <t>YV1BW565091095220</t>
  </si>
  <si>
    <t>V70</t>
  </si>
  <si>
    <t>WDD2452342J246371</t>
  </si>
  <si>
    <t>Triumph Ace(KZ)</t>
  </si>
  <si>
    <t>LY3P-158896</t>
  </si>
  <si>
    <t>WMWRA32060TM05553</t>
  </si>
  <si>
    <t>Courageous Ace(KZ)</t>
  </si>
  <si>
    <t>One 1.6i</t>
  </si>
  <si>
    <t>ichiban</t>
  </si>
  <si>
    <t>WBAWX52060L397824</t>
  </si>
  <si>
    <t>Galveston Highway(KZ)</t>
  </si>
  <si>
    <t>X3</t>
  </si>
  <si>
    <t>YF15-022030</t>
  </si>
  <si>
    <t>Galveston Highway(KB)</t>
  </si>
  <si>
    <t>JUKE</t>
  </si>
  <si>
    <t>CC25-297779</t>
  </si>
  <si>
    <t>JC-10,000.00</t>
  </si>
  <si>
    <t>jbing</t>
  </si>
  <si>
    <t>ZGE20-6013366</t>
  </si>
  <si>
    <t>Valiant Ace(KB)</t>
  </si>
  <si>
    <t>E12-193181</t>
  </si>
  <si>
    <t>NOTE</t>
  </si>
  <si>
    <t>WVWZZZ1KZAM614135</t>
  </si>
  <si>
    <t>GPE-008121</t>
  </si>
  <si>
    <t>IMPREZA</t>
  </si>
  <si>
    <t>WVWZZZ9NZ7D012888</t>
  </si>
  <si>
    <t>FPH Trade</t>
  </si>
  <si>
    <t>WBA3D36030NS40511</t>
  </si>
  <si>
    <t>JC-16,000.00</t>
  </si>
  <si>
    <t>WDD2183592A035763</t>
  </si>
  <si>
    <t>CLS350</t>
  </si>
  <si>
    <t>Keppler Select</t>
  </si>
  <si>
    <t>GSE20-5027174</t>
  </si>
  <si>
    <t>IS200</t>
  </si>
  <si>
    <t>RB1-1406288</t>
  </si>
  <si>
    <t>BR9-024335</t>
  </si>
  <si>
    <t>pts compliance</t>
  </si>
  <si>
    <t>CW5W-0400754</t>
  </si>
  <si>
    <t>WBA1R52030P712043</t>
  </si>
  <si>
    <t>118I</t>
  </si>
  <si>
    <t>JC 17,990.00</t>
  </si>
  <si>
    <t>BR9-069418</t>
  </si>
  <si>
    <t>Gardenia Ace(NG)</t>
  </si>
  <si>
    <t>GP2-032113</t>
  </si>
  <si>
    <t>Grand Orion(KB)</t>
  </si>
  <si>
    <t>IMPREZA SPORT</t>
  </si>
  <si>
    <t>WDC1569422J182776</t>
  </si>
  <si>
    <t>Grand Orion(KZ)</t>
  </si>
  <si>
    <t>GLA180</t>
  </si>
  <si>
    <t>WDD1724482F012169</t>
  </si>
  <si>
    <t>SLK200</t>
  </si>
  <si>
    <t>PV36-202543</t>
  </si>
  <si>
    <t>Grand Orion(NG)</t>
  </si>
  <si>
    <t>SKYLINE</t>
  </si>
  <si>
    <t>hammond</t>
  </si>
  <si>
    <t>YV1MW434BB2610262</t>
  </si>
  <si>
    <t>Frontier Ace(KZ)</t>
  </si>
  <si>
    <t>Y50-152599</t>
  </si>
  <si>
    <t>SH5-018901</t>
  </si>
  <si>
    <t>FD3-1404414</t>
  </si>
  <si>
    <t>Swift Ace(KZ)</t>
  </si>
  <si>
    <t>CIVIC</t>
  </si>
  <si>
    <t>CCEFW-227516</t>
  </si>
  <si>
    <t>BIANTE</t>
  </si>
  <si>
    <t>RE4-1102354</t>
  </si>
  <si>
    <t>NT31-005626</t>
  </si>
  <si>
    <t>WBA1A12070J202734</t>
  </si>
  <si>
    <t>Neptune Ace(KZ)</t>
  </si>
  <si>
    <t>JC-10,500.00</t>
  </si>
  <si>
    <t>WDD2462422J193471</t>
  </si>
  <si>
    <t>Mercury Ace(KB)</t>
  </si>
  <si>
    <t>B180</t>
  </si>
  <si>
    <t>NT31-021948</t>
  </si>
  <si>
    <t>NT31-060480</t>
  </si>
  <si>
    <t>Heroic Ace(KZ)</t>
  </si>
  <si>
    <t>GK3-1033830</t>
  </si>
  <si>
    <t>FIT</t>
  </si>
  <si>
    <t>BM5FP-100881</t>
  </si>
  <si>
    <t>Swift Ace(KB)</t>
  </si>
  <si>
    <t>AXELA</t>
  </si>
  <si>
    <t>ZC72S-316543</t>
  </si>
  <si>
    <t>SUZUKI</t>
  </si>
  <si>
    <t>SWIFT</t>
  </si>
  <si>
    <t>NT31-213342</t>
  </si>
  <si>
    <t>BM5FS-108757</t>
  </si>
  <si>
    <t>Heroic Ace(KB)</t>
  </si>
  <si>
    <t>AXELA SPORT</t>
  </si>
  <si>
    <t>WMWZC52070WM23175</t>
  </si>
  <si>
    <t>Dugong Ace(NG)</t>
  </si>
  <si>
    <t>MINI CROSS OVER</t>
  </si>
  <si>
    <t>NT31-013949</t>
  </si>
  <si>
    <t>Dugong Ace(KZ)</t>
  </si>
  <si>
    <t>BR9-037533</t>
  </si>
  <si>
    <t>WVWZZZ1KZBW095333</t>
  </si>
  <si>
    <t>Swallow Ace(KZ)</t>
  </si>
  <si>
    <t>WAUZZZ8E88A147784</t>
  </si>
  <si>
    <t>GP6-008642</t>
  </si>
  <si>
    <t>ACA31-5054652</t>
  </si>
  <si>
    <t>BELUGA  ACE(KZ)</t>
  </si>
  <si>
    <t>RAV4</t>
  </si>
  <si>
    <t>WMWZC320X0WN00626</t>
  </si>
  <si>
    <t>BELUGA  ACE(NG)</t>
  </si>
  <si>
    <t>NHP10-6084113</t>
  </si>
  <si>
    <t>mba</t>
  </si>
  <si>
    <t>GH5FS-104376</t>
  </si>
  <si>
    <t>ATENZA SPORT</t>
  </si>
  <si>
    <t>GH5FW-102771</t>
  </si>
  <si>
    <t>ATENZA SPORT WAGON</t>
  </si>
  <si>
    <t>GP7-009843</t>
  </si>
  <si>
    <t>WMWMF72080TV01204</t>
  </si>
  <si>
    <t>MINI COOPER S</t>
  </si>
  <si>
    <t>NHP10-2066643</t>
  </si>
  <si>
    <t>Blanco Ace(KZ)</t>
  </si>
  <si>
    <t>YAM-010966</t>
  </si>
  <si>
    <t>Blanco Ace(NG)</t>
  </si>
  <si>
    <t>ZC31S-206289</t>
  </si>
  <si>
    <t>Crystal Ace(NG)</t>
  </si>
  <si>
    <t>WBAWL72020JZ93080</t>
  </si>
  <si>
    <t>335I</t>
  </si>
  <si>
    <t>MPB1XXMXB1DJ26668</t>
  </si>
  <si>
    <t>FORD</t>
  </si>
  <si>
    <t>FOCUS</t>
  </si>
  <si>
    <t>WBAUS92080F088450</t>
  </si>
  <si>
    <t>320I</t>
  </si>
  <si>
    <t>wicked culture</t>
  </si>
  <si>
    <t>WF0AXXWPMADD77176</t>
  </si>
  <si>
    <t>Meridian Ace 183A</t>
  </si>
  <si>
    <t>KUGA</t>
  </si>
  <si>
    <t>DK5AW-111115</t>
  </si>
  <si>
    <t>2016</t>
  </si>
  <si>
    <t>YV1MZ6356E2026892</t>
  </si>
  <si>
    <t>V40</t>
  </si>
  <si>
    <t>SJG-007989</t>
  </si>
  <si>
    <t>Kap-Cancelled</t>
  </si>
  <si>
    <t>NT32-536499</t>
  </si>
  <si>
    <t>WF0RXXGCDRAG21059</t>
  </si>
  <si>
    <t>Prestige Ace 177A</t>
  </si>
  <si>
    <t xml:space="preserve">FORD </t>
  </si>
  <si>
    <t>BR9-044075</t>
  </si>
  <si>
    <t>2011</t>
  </si>
  <si>
    <t>BR9-037484</t>
  </si>
  <si>
    <t>GP5-1202070</t>
  </si>
  <si>
    <t>FIT HYBRID</t>
  </si>
  <si>
    <t>BR9-058369</t>
  </si>
  <si>
    <t>NT31-224313</t>
  </si>
  <si>
    <t>Morning Cherry(KZ)</t>
  </si>
  <si>
    <t>V36-101484</t>
  </si>
  <si>
    <t>GF8-034585</t>
  </si>
  <si>
    <t>Triumph Ace</t>
  </si>
  <si>
    <t>1997</t>
  </si>
  <si>
    <t>VR2E26-113094</t>
  </si>
  <si>
    <t>2018</t>
  </si>
  <si>
    <t>DK5AW-100835</t>
  </si>
  <si>
    <t>2015</t>
  </si>
  <si>
    <t>GJ2FW-100221</t>
  </si>
  <si>
    <t>FLYAWAY</t>
  </si>
  <si>
    <t>YV1MW434BC2691066</t>
  </si>
  <si>
    <t>ZC83S-118994</t>
  </si>
  <si>
    <t>SHJ-006149</t>
  </si>
  <si>
    <t>Grand Ruby(KZ)</t>
  </si>
  <si>
    <t>WBAWY320X00C67132</t>
  </si>
  <si>
    <t>WBA3H12070F493758</t>
  </si>
  <si>
    <t>BLFFW-102446</t>
  </si>
  <si>
    <t>Palmela</t>
  </si>
  <si>
    <t>WVWZZZ6RZCU071100</t>
  </si>
  <si>
    <t xml:space="preserve">volkswagen </t>
  </si>
  <si>
    <t>Polo</t>
  </si>
  <si>
    <t>arrowmax</t>
  </si>
  <si>
    <t>NHP10-6053587</t>
  </si>
  <si>
    <t>Palmela 187A</t>
  </si>
  <si>
    <t>Toyota</t>
  </si>
  <si>
    <t>aqua</t>
  </si>
  <si>
    <t>WF0RXXGCDRAB22743</t>
  </si>
  <si>
    <t>Ford</t>
  </si>
  <si>
    <t>Kuga</t>
  </si>
  <si>
    <t xml:space="preserve"> (LESS )</t>
  </si>
  <si>
    <t>WS_Price</t>
  </si>
  <si>
    <t>JC-WS price</t>
  </si>
  <si>
    <t>Wholesale South-Non MaxCare</t>
  </si>
  <si>
    <t>ANH20-8281194</t>
  </si>
  <si>
    <t>Venus Spirit(KZ)</t>
  </si>
  <si>
    <t>VELLFIRE</t>
  </si>
  <si>
    <t>WVGZZZ5NZ9W030945</t>
  </si>
  <si>
    <t>WVWZZZ1KZCW281642</t>
  </si>
  <si>
    <t>GYL16-2404052</t>
  </si>
  <si>
    <t>RX450H</t>
  </si>
  <si>
    <t>kap service</t>
  </si>
  <si>
    <t>GRX130-6051803</t>
  </si>
  <si>
    <t>MARK X</t>
  </si>
  <si>
    <t>CWFFW-115472</t>
  </si>
  <si>
    <t>Adria Ace(KB)</t>
  </si>
  <si>
    <t>WDB2110542B275556</t>
  </si>
  <si>
    <t>NKE165-7015819</t>
  </si>
  <si>
    <t>Adria Ace(NG)</t>
  </si>
  <si>
    <t>1J8GE59147L131989</t>
  </si>
  <si>
    <t>JEEP</t>
  </si>
  <si>
    <t>WRANGLER UNLIMITED</t>
  </si>
  <si>
    <t>ZGE20-0129949</t>
  </si>
  <si>
    <t>WDD2120562A062194</t>
  </si>
  <si>
    <t>RE4-1003678</t>
  </si>
  <si>
    <t>GJEFP-101803</t>
  </si>
  <si>
    <t>Meridian Ace(NG)</t>
  </si>
  <si>
    <t>ATENZA</t>
  </si>
  <si>
    <t>WDD2120542A045843</t>
  </si>
  <si>
    <t>FHP Trading</t>
  </si>
  <si>
    <t>FC26-062088</t>
  </si>
  <si>
    <t>NT31-116382</t>
  </si>
  <si>
    <t>WVWZZZ1KZDW054961</t>
  </si>
  <si>
    <t>WBA1A12030E946324</t>
  </si>
  <si>
    <t>WBAVL52030VP33795</t>
  </si>
  <si>
    <t>CCEFW-206646</t>
  </si>
  <si>
    <t>WDD2120242A556027</t>
  </si>
  <si>
    <t>NT31-006149</t>
  </si>
  <si>
    <t>TB17-009273</t>
  </si>
  <si>
    <t>BLUEBIRD SYLPHY</t>
  </si>
  <si>
    <t>TNT31-003121</t>
  </si>
  <si>
    <t>ZGE20-0129467</t>
  </si>
  <si>
    <t>ZVW30-1574191</t>
  </si>
  <si>
    <t>WVWZZZ3CZ9E022016</t>
  </si>
  <si>
    <t>PASSAT VARIANT</t>
  </si>
  <si>
    <t>ZGE20-0038465</t>
  </si>
  <si>
    <t>GK3-1032818</t>
  </si>
  <si>
    <t>auto nest</t>
  </si>
  <si>
    <t>GK3-3002054</t>
  </si>
  <si>
    <t>BLFFW-104460</t>
  </si>
  <si>
    <t>NT31-003858</t>
  </si>
  <si>
    <t>NT31-027298</t>
  </si>
  <si>
    <t>NSP130-2187715</t>
  </si>
  <si>
    <t>WVWZZZ1KZBW276411</t>
  </si>
  <si>
    <t>DJ5FS-136200</t>
  </si>
  <si>
    <t>RR5-1000411</t>
  </si>
  <si>
    <t>compliance and deluxe wash invoice</t>
  </si>
  <si>
    <t>CP3-1102208</t>
  </si>
  <si>
    <t>Mercury Ace(NG)</t>
  </si>
  <si>
    <t>PNZ51-002523</t>
  </si>
  <si>
    <t>compliance, panel and paint and deluxe was invoice</t>
  </si>
  <si>
    <t>F15-005240</t>
  </si>
  <si>
    <t>Christ bird</t>
  </si>
  <si>
    <t>ZC72S-330973</t>
  </si>
  <si>
    <t>GSE20-5103858</t>
  </si>
  <si>
    <t>IS250</t>
  </si>
  <si>
    <t>CWEFW-102132</t>
  </si>
  <si>
    <t>GRX130-6059437</t>
  </si>
  <si>
    <t>BR9-009395</t>
  </si>
  <si>
    <t>YF15-312736</t>
  </si>
  <si>
    <t>GB3-1435797</t>
  </si>
  <si>
    <t>Dugong Ace(YKK)</t>
  </si>
  <si>
    <t>FREED</t>
  </si>
  <si>
    <t>compliance and groom invoice</t>
  </si>
  <si>
    <t>GH5FW-103066</t>
  </si>
  <si>
    <t>WBAVH16030NK90973</t>
  </si>
  <si>
    <t>CP3-1000904</t>
  </si>
  <si>
    <t>GK5-1000039</t>
  </si>
  <si>
    <t>NT31-304837</t>
  </si>
  <si>
    <t>BM9-009914</t>
  </si>
  <si>
    <t>LEGACY B4</t>
  </si>
  <si>
    <t>WVWZZZ1KZDW067355</t>
  </si>
  <si>
    <t>WBAVL32050VP87961</t>
  </si>
  <si>
    <t>CV5W-0014750</t>
  </si>
  <si>
    <t>BR9-042430</t>
  </si>
  <si>
    <t>BR9-065367</t>
  </si>
  <si>
    <t>ZGE20-0077477</t>
  </si>
  <si>
    <t>WBAVL32000VP94235</t>
  </si>
  <si>
    <t>ZC72S-318504</t>
  </si>
  <si>
    <t>ZGE20-0002441</t>
  </si>
  <si>
    <t>KE2AW-117701</t>
  </si>
  <si>
    <t>TD94W-200834</t>
  </si>
  <si>
    <t>ESCUDO</t>
  </si>
  <si>
    <t>WBANU92030CU37868</t>
  </si>
  <si>
    <t>530I</t>
  </si>
  <si>
    <t>BR9-017055</t>
  </si>
  <si>
    <t>compliance, paint  and panel, deluxe wash invoice</t>
  </si>
  <si>
    <t>GP7-028474</t>
  </si>
  <si>
    <t>compliance, apint and panel, deluxe wash invoice</t>
  </si>
  <si>
    <t>CW5W-0002274</t>
  </si>
  <si>
    <t>ACA38-5133973</t>
  </si>
  <si>
    <t>Crystal Ace(KZ)</t>
  </si>
  <si>
    <t>VANGUARD</t>
  </si>
  <si>
    <t>AZE156-1036161</t>
  </si>
  <si>
    <t>Crystal Ace(KB)</t>
  </si>
  <si>
    <t>WAUZZZ8P2DA002185</t>
  </si>
  <si>
    <t>CW5W-0200651</t>
  </si>
  <si>
    <t>BLEFW-115893</t>
  </si>
  <si>
    <t>Sunrise Ace(YKK)</t>
  </si>
  <si>
    <t>BLFFW-109548</t>
  </si>
  <si>
    <t>Sunrise Ace(KZ)</t>
  </si>
  <si>
    <t>JZS171-0041382</t>
  </si>
  <si>
    <t>CROWN</t>
  </si>
  <si>
    <t>JZS171-0071209</t>
  </si>
  <si>
    <t>complince invoice</t>
  </si>
  <si>
    <t>Wholesale South - Maxcare</t>
  </si>
  <si>
    <t>CWEFWN-122364</t>
  </si>
  <si>
    <t>LAFESTA</t>
  </si>
  <si>
    <t>ZGE20-0082198</t>
  </si>
  <si>
    <t>BR9-003824</t>
  </si>
  <si>
    <t>NZE181-6001000</t>
  </si>
  <si>
    <t>AURIS</t>
  </si>
  <si>
    <t>YF15-313791</t>
  </si>
  <si>
    <t>BR9-014807</t>
  </si>
  <si>
    <t>compliance an deluxe wash invoice</t>
  </si>
  <si>
    <t>BR9-057581</t>
  </si>
  <si>
    <t>GP5-3037801</t>
  </si>
  <si>
    <t>GP6-005192</t>
  </si>
  <si>
    <t>IMPREZA Sports</t>
  </si>
  <si>
    <t>GRS191-0044274</t>
  </si>
  <si>
    <t>RB3-1304570</t>
  </si>
  <si>
    <t>YF15-300521</t>
  </si>
  <si>
    <t>BL5FW-208090</t>
  </si>
  <si>
    <t>CWEFW-143577</t>
  </si>
  <si>
    <t>compliance, paint and panel and deluxe wash invoice</t>
  </si>
  <si>
    <t>NSP130-2188100</t>
  </si>
  <si>
    <t>Orca Ace(NG)</t>
  </si>
  <si>
    <t>ACA33-5254110</t>
  </si>
  <si>
    <t>CW5W-0010306</t>
  </si>
  <si>
    <t>CW5W-5404738</t>
  </si>
  <si>
    <t>GA4W-0102931</t>
  </si>
  <si>
    <t>RVR</t>
  </si>
  <si>
    <t>GP7-041739</t>
  </si>
  <si>
    <t>GSE20-2090575</t>
  </si>
  <si>
    <t>NF15-152481</t>
  </si>
  <si>
    <t>NHP10-2346554</t>
  </si>
  <si>
    <t>NT31-030624</t>
  </si>
  <si>
    <t>NT31-031255</t>
  </si>
  <si>
    <t>WBAWB72050PW82193</t>
  </si>
  <si>
    <t>COUPE</t>
  </si>
  <si>
    <t>YV1MW434BC2690848</t>
  </si>
  <si>
    <t>YV1MV485BD2025517</t>
  </si>
  <si>
    <t>Volvo</t>
  </si>
  <si>
    <t>JZS161-0024303</t>
  </si>
  <si>
    <t>ariston</t>
  </si>
  <si>
    <t>ZGE20-0052128</t>
  </si>
  <si>
    <t>ACA38-5133100</t>
  </si>
  <si>
    <t>ANA10-0026683</t>
  </si>
  <si>
    <t>MARK X ZIO</t>
  </si>
  <si>
    <t>AZE156-1006499</t>
  </si>
  <si>
    <t>AZE156-1010881</t>
  </si>
  <si>
    <t>AZE156-1015878</t>
  </si>
  <si>
    <t>AZE156-1038061</t>
  </si>
  <si>
    <t>BM9-008661</t>
  </si>
  <si>
    <t>BMM-006201</t>
  </si>
  <si>
    <t>BPE-033142</t>
  </si>
  <si>
    <t>compliance and paint and panel invoice</t>
  </si>
  <si>
    <t>BR9-008219</t>
  </si>
  <si>
    <t>CW2-1000267</t>
  </si>
  <si>
    <t>ACCORD</t>
  </si>
  <si>
    <t>E12-206939</t>
  </si>
  <si>
    <t>E12-420659</t>
  </si>
  <si>
    <t>F15-006668</t>
  </si>
  <si>
    <t>F15-100203</t>
  </si>
  <si>
    <t>F15-100605</t>
  </si>
  <si>
    <t>GK3-1044239</t>
  </si>
  <si>
    <t>JZX110-0013226</t>
  </si>
  <si>
    <t>MARK II BLIT</t>
  </si>
  <si>
    <t>KEEFW-108057</t>
  </si>
  <si>
    <t>KY51-202941</t>
  </si>
  <si>
    <t>NT31-048349</t>
  </si>
  <si>
    <t>RB1-1102403</t>
  </si>
  <si>
    <t>RE3-1006919</t>
  </si>
  <si>
    <t>SH5-042449</t>
  </si>
  <si>
    <t>SH5-043759</t>
  </si>
  <si>
    <t>SJ5-009909</t>
  </si>
  <si>
    <t>TZ51-010457</t>
  </si>
  <si>
    <t>UCF21-0071110</t>
  </si>
  <si>
    <t>CELSIOR</t>
  </si>
  <si>
    <t>WAUZZZ8K39A158618</t>
  </si>
  <si>
    <t>A4 Avant</t>
  </si>
  <si>
    <t>WBAPG36000NK80909</t>
  </si>
  <si>
    <t>comliance and paint and panel invoice</t>
  </si>
  <si>
    <t>WBAUS92050F088891</t>
  </si>
  <si>
    <t>WBAUS92060A939075</t>
  </si>
  <si>
    <t>WDD2120562A049655</t>
  </si>
  <si>
    <t>WMWMM32030TV67271</t>
  </si>
  <si>
    <t>Y51-101701</t>
  </si>
  <si>
    <t>YA4-011150</t>
  </si>
  <si>
    <t>YV1MW434BC2699408</t>
  </si>
  <si>
    <t>ZC31S-205370</t>
  </si>
  <si>
    <t>ZGE20-0021557</t>
  </si>
  <si>
    <t>ZVW30-1600151</t>
  </si>
  <si>
    <t>WBA1A120X0E947034</t>
  </si>
  <si>
    <t>116I</t>
  </si>
  <si>
    <t>ZGE20-0029273</t>
  </si>
  <si>
    <t>DJ3FS-105775</t>
  </si>
  <si>
    <t>WAUZZZ8T9BA027935</t>
  </si>
  <si>
    <t>A5</t>
  </si>
  <si>
    <t>ZC72S-349594</t>
  </si>
  <si>
    <t>ZGE25-0026236</t>
  </si>
  <si>
    <t>Wish</t>
  </si>
  <si>
    <t>WMWZN32000T552651</t>
  </si>
  <si>
    <t>compliane and paint and panel invoice</t>
  </si>
  <si>
    <t>WVWZZZ1KZDM608683</t>
  </si>
  <si>
    <t>Morning Cherry(KB)</t>
  </si>
  <si>
    <t>GK3-1059851</t>
  </si>
  <si>
    <t>MAJBXXMRKBES39144</t>
  </si>
  <si>
    <t>ford</t>
  </si>
  <si>
    <t>Ecosport</t>
  </si>
  <si>
    <t>DJ3FS-301540</t>
  </si>
  <si>
    <t>SJ5-011729</t>
  </si>
  <si>
    <t>Grand Ruby(YKK)</t>
  </si>
  <si>
    <t>Compliance , Deluxe wash , panel &amp; paint invoice</t>
  </si>
  <si>
    <t>NHP10-6330322</t>
  </si>
  <si>
    <t>GK3-3016826</t>
  </si>
  <si>
    <t>NHP10-2089473</t>
  </si>
  <si>
    <t>WAUZZZ4F69N011176</t>
  </si>
  <si>
    <t>WBANU52050CZ88716</t>
  </si>
  <si>
    <t>5 SERIES</t>
  </si>
  <si>
    <t>WBAVL32070VP88044</t>
  </si>
  <si>
    <t>WVWZZZ1KZCM627481</t>
  </si>
  <si>
    <t>BM2FS-104939</t>
  </si>
  <si>
    <t>WDD2042492F980915</t>
  </si>
  <si>
    <t>WDD2043492G021369</t>
  </si>
  <si>
    <t>C CLASS</t>
  </si>
  <si>
    <t>WVWZZZ1KZBW124476</t>
  </si>
  <si>
    <t>WVWZZZ1KZDM641978</t>
  </si>
  <si>
    <t>WVWZZZAUZEW375156</t>
  </si>
  <si>
    <t>DEJFS-167194</t>
  </si>
  <si>
    <t>E12-424193</t>
  </si>
  <si>
    <t>GK3-1018747</t>
  </si>
  <si>
    <t>GP5-1006633</t>
  </si>
  <si>
    <t>GP5-3005856</t>
  </si>
  <si>
    <t>GP5-3067215</t>
  </si>
  <si>
    <t>NZE181-6001797</t>
  </si>
  <si>
    <t>WAUZZZ8P3CA064127</t>
  </si>
  <si>
    <t>WAUZZZ8P4CA063004</t>
  </si>
  <si>
    <t>GK3-1042777</t>
  </si>
  <si>
    <t>GK5-1002720</t>
  </si>
  <si>
    <t>NHP10-2119570</t>
  </si>
  <si>
    <t>NZE181-6000320</t>
  </si>
  <si>
    <t>WVWZZZ6RZCU074488</t>
  </si>
  <si>
    <t>WF0DXXGAKDEA44763</t>
  </si>
  <si>
    <t>Dignity Ace 69A</t>
  </si>
  <si>
    <t>FIESTA</t>
  </si>
  <si>
    <t>GG7-3006296</t>
  </si>
  <si>
    <t>FIT SHUTTLE</t>
  </si>
  <si>
    <t>GK3-1232912</t>
  </si>
  <si>
    <t>E12-158390</t>
  </si>
  <si>
    <t>WVWZZZ6RZAU075120</t>
  </si>
  <si>
    <t>GP1-1229482</t>
  </si>
  <si>
    <t>Garnet Ace 99A</t>
  </si>
  <si>
    <t>GP5-3069776</t>
  </si>
  <si>
    <t>NHP10-2396294</t>
  </si>
  <si>
    <t>DJ5FS-100800</t>
  </si>
  <si>
    <t>SJ5-019443</t>
  </si>
  <si>
    <t>NHP10-6400650</t>
  </si>
  <si>
    <t>GP7-026836</t>
  </si>
  <si>
    <t>XV</t>
  </si>
  <si>
    <t>WDD2462422J130447</t>
  </si>
  <si>
    <t>WVWZZZ1KZBM679581</t>
  </si>
  <si>
    <t>wicked</t>
  </si>
  <si>
    <t>GP1-1222161</t>
  </si>
  <si>
    <t>GP4-1007399</t>
  </si>
  <si>
    <t>GP5-3030296</t>
  </si>
  <si>
    <t>GP5-3089129</t>
  </si>
  <si>
    <t>GP5-5000350</t>
  </si>
  <si>
    <t>GPE-003864</t>
  </si>
  <si>
    <t>KE2FW-143387</t>
  </si>
  <si>
    <t>N17-003445</t>
  </si>
  <si>
    <t>ZC31S-200869</t>
  </si>
  <si>
    <t>ZVW30-1021496</t>
  </si>
  <si>
    <t>ZVW30-0331966</t>
  </si>
  <si>
    <t>ZVW30-5094100</t>
  </si>
  <si>
    <t>ZWA10-2022292</t>
  </si>
  <si>
    <t>GP2-3131928</t>
  </si>
  <si>
    <t>GP5-1005879</t>
  </si>
  <si>
    <t>NHP10-2262958</t>
  </si>
  <si>
    <t>YF15-401597</t>
  </si>
  <si>
    <t>ZC32S-300117</t>
  </si>
  <si>
    <t>FEA50-510204</t>
  </si>
  <si>
    <t>IMPREZA XV HYBRID</t>
  </si>
  <si>
    <t>LATIO</t>
  </si>
  <si>
    <t>2007</t>
  </si>
  <si>
    <t>2009</t>
  </si>
  <si>
    <t>CT200H</t>
  </si>
  <si>
    <t>FIT SHUTTLE HYBRID</t>
  </si>
  <si>
    <t>CANTER</t>
  </si>
  <si>
    <t>Grand Champion 1A</t>
  </si>
  <si>
    <t>WVWZZZ1KZCW093841</t>
  </si>
  <si>
    <t>Final Cost</t>
  </si>
  <si>
    <t>WSP</t>
  </si>
  <si>
    <t>Joseph Price</t>
  </si>
  <si>
    <t>Tyler</t>
  </si>
  <si>
    <t>Wheeler</t>
  </si>
  <si>
    <t>Cash sale/dealer</t>
  </si>
  <si>
    <t xml:space="preserve">        44,919 </t>
  </si>
  <si>
    <t>10k</t>
  </si>
  <si>
    <t>12K</t>
  </si>
  <si>
    <t xml:space="preserve">        98,424 </t>
  </si>
  <si>
    <t>8k</t>
  </si>
  <si>
    <t>9K</t>
  </si>
  <si>
    <t>2CC</t>
  </si>
  <si>
    <t xml:space="preserve">        83,145 </t>
  </si>
  <si>
    <t>7k</t>
  </si>
  <si>
    <t>10K</t>
  </si>
  <si>
    <t xml:space="preserve">       119,112 </t>
  </si>
  <si>
    <t>9k</t>
  </si>
  <si>
    <t>7K</t>
  </si>
  <si>
    <t xml:space="preserve">       126,776 </t>
  </si>
  <si>
    <t>8K</t>
  </si>
  <si>
    <t xml:space="preserve">        38,199 </t>
  </si>
  <si>
    <t>5K</t>
  </si>
  <si>
    <t xml:space="preserve">       114,290 </t>
  </si>
  <si>
    <t>5k</t>
  </si>
  <si>
    <t>6K</t>
  </si>
  <si>
    <t>Alert</t>
  </si>
  <si>
    <t xml:space="preserve">        81,087 </t>
  </si>
  <si>
    <t xml:space="preserve">       112,004 </t>
  </si>
  <si>
    <t xml:space="preserve">        73,236 </t>
  </si>
  <si>
    <t>20k</t>
  </si>
  <si>
    <t xml:space="preserve">        82,177 </t>
  </si>
  <si>
    <t>22k</t>
  </si>
  <si>
    <t>21K</t>
  </si>
  <si>
    <t>Keppler</t>
  </si>
  <si>
    <t xml:space="preserve">        86,159 </t>
  </si>
  <si>
    <t>15k</t>
  </si>
  <si>
    <t xml:space="preserve">       143,994 </t>
  </si>
  <si>
    <t>11k</t>
  </si>
  <si>
    <t xml:space="preserve">       122,400 </t>
  </si>
  <si>
    <t>4k</t>
  </si>
  <si>
    <t xml:space="preserve">        55,840 </t>
  </si>
  <si>
    <t>12k</t>
  </si>
  <si>
    <t xml:space="preserve">       100,974 </t>
  </si>
  <si>
    <t>8.5K</t>
  </si>
  <si>
    <t xml:space="preserve">       123,964 </t>
  </si>
  <si>
    <t>13k</t>
  </si>
  <si>
    <t xml:space="preserve">        71,350 </t>
  </si>
  <si>
    <t>6.5K</t>
  </si>
  <si>
    <t xml:space="preserve">       115,162 </t>
  </si>
  <si>
    <t>9.5K</t>
  </si>
  <si>
    <t xml:space="preserve">        33,078 </t>
  </si>
  <si>
    <t xml:space="preserve">       113,349 </t>
  </si>
  <si>
    <t xml:space="preserve">        54,076 </t>
  </si>
  <si>
    <t xml:space="preserve">        42,837 </t>
  </si>
  <si>
    <t xml:space="preserve">        71,277 </t>
  </si>
  <si>
    <t>7.5K</t>
  </si>
  <si>
    <t xml:space="preserve">       117,673 </t>
  </si>
  <si>
    <t xml:space="preserve">       126,411 </t>
  </si>
  <si>
    <t>17K</t>
  </si>
  <si>
    <t xml:space="preserve">        72,059 </t>
  </si>
  <si>
    <t xml:space="preserve">        91,563 </t>
  </si>
  <si>
    <t>16k</t>
  </si>
  <si>
    <t xml:space="preserve">       119,096 </t>
  </si>
  <si>
    <t>11K</t>
  </si>
  <si>
    <t xml:space="preserve">       124,020 </t>
  </si>
  <si>
    <t xml:space="preserve">       142,891 </t>
  </si>
  <si>
    <t>13K</t>
  </si>
  <si>
    <t xml:space="preserve">       100,764 </t>
  </si>
  <si>
    <t>6k</t>
  </si>
  <si>
    <t xml:space="preserve">        81,182 </t>
  </si>
  <si>
    <t xml:space="preserve">        65,833 </t>
  </si>
  <si>
    <t xml:space="preserve">       112,211 </t>
  </si>
  <si>
    <t xml:space="preserve">       105,571 </t>
  </si>
  <si>
    <t xml:space="preserve">        99,480 </t>
  </si>
  <si>
    <t xml:space="preserve">        88,457 </t>
  </si>
  <si>
    <t xml:space="preserve">       105,487 </t>
  </si>
  <si>
    <t>4K</t>
  </si>
  <si>
    <t xml:space="preserve">       111,135 </t>
  </si>
  <si>
    <t xml:space="preserve">        66,499 </t>
  </si>
  <si>
    <t xml:space="preserve">      150,046 </t>
  </si>
  <si>
    <t xml:space="preserve">       156,716 </t>
  </si>
  <si>
    <t xml:space="preserve">        72,655 </t>
  </si>
  <si>
    <t xml:space="preserve">        85,527 </t>
  </si>
  <si>
    <t xml:space="preserve">        94,034 </t>
  </si>
  <si>
    <t xml:space="preserve">       103,310 </t>
  </si>
  <si>
    <t xml:space="preserve">       113,447 </t>
  </si>
  <si>
    <t>12.5K</t>
  </si>
  <si>
    <t xml:space="preserve">       136,661 </t>
  </si>
  <si>
    <t xml:space="preserve">       118,295 </t>
  </si>
  <si>
    <t>19K</t>
  </si>
  <si>
    <t>Motor Professional</t>
  </si>
  <si>
    <t xml:space="preserve">       136,168 </t>
  </si>
  <si>
    <t>15K</t>
  </si>
  <si>
    <t xml:space="preserve">       126,298 </t>
  </si>
  <si>
    <t>13.5K</t>
  </si>
  <si>
    <t xml:space="preserve">       106,905 </t>
  </si>
  <si>
    <t xml:space="preserve">        65,807 </t>
  </si>
  <si>
    <t xml:space="preserve">           92,808 </t>
  </si>
  <si>
    <t>PTS</t>
  </si>
  <si>
    <t xml:space="preserve">        97,975 </t>
  </si>
  <si>
    <t xml:space="preserve">       143,840 </t>
  </si>
  <si>
    <t xml:space="preserve">       115,934 </t>
  </si>
  <si>
    <t>5.5K</t>
  </si>
  <si>
    <t xml:space="preserve">       105,034 </t>
  </si>
  <si>
    <t>15.5K</t>
  </si>
  <si>
    <t xml:space="preserve">       155,196 </t>
  </si>
  <si>
    <t xml:space="preserve">       129,220 </t>
  </si>
  <si>
    <t xml:space="preserve">       107,647 </t>
  </si>
  <si>
    <t xml:space="preserve">       109,257 </t>
  </si>
  <si>
    <t xml:space="preserve">        60,423 </t>
  </si>
  <si>
    <t xml:space="preserve">        62,840 </t>
  </si>
  <si>
    <t xml:space="preserve">        121,258 </t>
  </si>
  <si>
    <t xml:space="preserve">        106,681 </t>
  </si>
  <si>
    <t>14k</t>
  </si>
  <si>
    <t xml:space="preserve">           67,917 </t>
  </si>
  <si>
    <t xml:space="preserve">           52,560 </t>
  </si>
  <si>
    <t xml:space="preserve">           63,850 </t>
  </si>
  <si>
    <t xml:space="preserve">           46,212 </t>
  </si>
  <si>
    <t xml:space="preserve">           85,491 </t>
  </si>
  <si>
    <t xml:space="preserve">           61,479 </t>
  </si>
  <si>
    <t xml:space="preserve">           88,424 </t>
  </si>
  <si>
    <t xml:space="preserve">           59,482 </t>
  </si>
  <si>
    <t xml:space="preserve">           76,346 </t>
  </si>
  <si>
    <t xml:space="preserve">        129,022 </t>
  </si>
  <si>
    <t xml:space="preserve">           75,594 </t>
  </si>
  <si>
    <t xml:space="preserve">           71,837 </t>
  </si>
  <si>
    <t xml:space="preserve">           96,402 </t>
  </si>
  <si>
    <t>CWFFW-104891</t>
  </si>
  <si>
    <t xml:space="preserve">        91,541 </t>
  </si>
  <si>
    <t>4.5K</t>
  </si>
  <si>
    <t>enterprise Gisborne</t>
  </si>
  <si>
    <t>CX3A-0100202</t>
  </si>
  <si>
    <t xml:space="preserve">       146,280 </t>
  </si>
  <si>
    <t>GALANT FORTIS</t>
  </si>
  <si>
    <t>CWFFW-136905</t>
  </si>
  <si>
    <t xml:space="preserve">       123,144 </t>
  </si>
  <si>
    <t>10.5K</t>
  </si>
  <si>
    <t xml:space="preserve">        99,810 </t>
  </si>
  <si>
    <t>4.2K</t>
  </si>
  <si>
    <t>Ron's</t>
  </si>
  <si>
    <t>CWEFW-144784</t>
  </si>
  <si>
    <t xml:space="preserve">        92,662 </t>
  </si>
  <si>
    <t>DJ3FS-156707</t>
  </si>
  <si>
    <t xml:space="preserve">       154,163 </t>
  </si>
  <si>
    <t>KEEFW-101192</t>
  </si>
  <si>
    <t xml:space="preserve">       166,323 </t>
  </si>
  <si>
    <t>VAG-003409</t>
  </si>
  <si>
    <t xml:space="preserve">       123,589 </t>
  </si>
  <si>
    <t>WRX S4</t>
  </si>
  <si>
    <t>26k</t>
  </si>
  <si>
    <t>24K</t>
  </si>
  <si>
    <t>18K</t>
  </si>
  <si>
    <t>16K</t>
  </si>
  <si>
    <t>Y12-187128</t>
  </si>
  <si>
    <t xml:space="preserve">        96,692 </t>
  </si>
  <si>
    <t>WINGROAD</t>
  </si>
  <si>
    <t>Y12-188025</t>
  </si>
  <si>
    <t xml:space="preserve">        91,384 </t>
  </si>
  <si>
    <t xml:space="preserve">        65,795 </t>
  </si>
  <si>
    <t>DJ3FS-109669</t>
  </si>
  <si>
    <t xml:space="preserve">       134,108 </t>
  </si>
  <si>
    <t>HFC26-120417</t>
  </si>
  <si>
    <t xml:space="preserve">       148,311 </t>
  </si>
  <si>
    <t>4.8K</t>
  </si>
  <si>
    <t>Manuel's SC</t>
  </si>
  <si>
    <t>Y12-185721</t>
  </si>
  <si>
    <t xml:space="preserve">        96,765 </t>
  </si>
  <si>
    <t xml:space="preserve">        56,656 </t>
  </si>
  <si>
    <t>11.5K</t>
  </si>
  <si>
    <t>DJ3FS-164329</t>
  </si>
  <si>
    <t xml:space="preserve">       140,844 </t>
  </si>
  <si>
    <t>E12-499288</t>
  </si>
  <si>
    <t xml:space="preserve">        56,824 </t>
  </si>
  <si>
    <t>NHP10-2274850</t>
  </si>
  <si>
    <t xml:space="preserve">       134,313 </t>
  </si>
  <si>
    <t xml:space="preserve">        42,767 </t>
  </si>
  <si>
    <t>David/Jojo</t>
  </si>
  <si>
    <t>enterprise/wheeler</t>
  </si>
  <si>
    <t>ZC32S-111763</t>
  </si>
  <si>
    <t xml:space="preserve">       130,879 </t>
  </si>
  <si>
    <t>suzuki</t>
  </si>
  <si>
    <t>swift</t>
  </si>
  <si>
    <t>Campbell's SC</t>
  </si>
  <si>
    <t>Enterprise-Gisborne</t>
  </si>
  <si>
    <t xml:space="preserve">BRM-016926 </t>
  </si>
  <si>
    <t xml:space="preserve">        59,615 </t>
  </si>
  <si>
    <t xml:space="preserve">        55,480 </t>
  </si>
  <si>
    <t xml:space="preserve">        95,159 </t>
  </si>
  <si>
    <t>19k</t>
  </si>
  <si>
    <t>Ideal</t>
  </si>
  <si>
    <t>AZE156-1034251</t>
  </si>
  <si>
    <t xml:space="preserve">        30,697 </t>
  </si>
  <si>
    <t xml:space="preserve">        54,335 </t>
  </si>
  <si>
    <t>28k</t>
  </si>
  <si>
    <t>20K</t>
  </si>
  <si>
    <t xml:space="preserve">        54,033 </t>
  </si>
  <si>
    <t xml:space="preserve">       114,959 </t>
  </si>
  <si>
    <t xml:space="preserve">       144,726 </t>
  </si>
  <si>
    <t xml:space="preserve">        62,159 </t>
  </si>
  <si>
    <t xml:space="preserve">        77,785 </t>
  </si>
  <si>
    <t xml:space="preserve">        66,158 </t>
  </si>
  <si>
    <t xml:space="preserve">       118,004 </t>
  </si>
  <si>
    <t>5.9K</t>
  </si>
  <si>
    <t xml:space="preserve">        98,616 </t>
  </si>
  <si>
    <t xml:space="preserve">       110,308 </t>
  </si>
  <si>
    <t xml:space="preserve">        73,162 </t>
  </si>
  <si>
    <t xml:space="preserve">        76,750 </t>
  </si>
  <si>
    <t>14K</t>
  </si>
  <si>
    <t xml:space="preserve">        89,825 </t>
  </si>
  <si>
    <t xml:space="preserve">       102,838 </t>
  </si>
  <si>
    <t xml:space="preserve">       100,459 </t>
  </si>
  <si>
    <t xml:space="preserve">        18,283 </t>
  </si>
  <si>
    <t xml:space="preserve">        92,901 </t>
  </si>
  <si>
    <t xml:space="preserve">       113,012 </t>
  </si>
  <si>
    <t xml:space="preserve">        53,618 </t>
  </si>
  <si>
    <t xml:space="preserve">        90,025 </t>
  </si>
  <si>
    <t xml:space="preserve">           36,959 </t>
  </si>
  <si>
    <t xml:space="preserve">       106,568 </t>
  </si>
  <si>
    <t>6.8K</t>
  </si>
  <si>
    <t xml:space="preserve">        77,894 </t>
  </si>
  <si>
    <t xml:space="preserve">        88,836 </t>
  </si>
  <si>
    <t xml:space="preserve">           18,916 </t>
  </si>
  <si>
    <t>Wheeler/2CC 11</t>
  </si>
  <si>
    <t xml:space="preserve">           25,329 </t>
  </si>
  <si>
    <t>23K</t>
  </si>
  <si>
    <t>Wheeler/2CC 10</t>
  </si>
  <si>
    <t xml:space="preserve">       107,040 </t>
  </si>
  <si>
    <t>21k</t>
  </si>
  <si>
    <t>OBO/IDEAL</t>
  </si>
  <si>
    <t xml:space="preserve">       148,307 </t>
  </si>
  <si>
    <t>Bill Russ</t>
  </si>
  <si>
    <t>RW1-1003546</t>
  </si>
  <si>
    <t xml:space="preserve">             115 </t>
  </si>
  <si>
    <t>30k</t>
  </si>
  <si>
    <t>22K</t>
  </si>
  <si>
    <t>25K</t>
  </si>
  <si>
    <t>Sold/Sharp</t>
  </si>
  <si>
    <t>unpaid</t>
  </si>
  <si>
    <t xml:space="preserve">        87,823 </t>
  </si>
  <si>
    <t>WVWZZZ6RZCU032661</t>
  </si>
  <si>
    <t xml:space="preserve">        46,084 </t>
  </si>
  <si>
    <t xml:space="preserve">        98,368 </t>
  </si>
  <si>
    <t>WVWZZZ1KZCM635662</t>
  </si>
  <si>
    <t xml:space="preserve">        85,573 </t>
  </si>
  <si>
    <t xml:space="preserve">        67,593 </t>
  </si>
  <si>
    <t xml:space="preserve">        85,357 </t>
  </si>
  <si>
    <t>17k</t>
  </si>
  <si>
    <t xml:space="preserve">       109,846 </t>
  </si>
  <si>
    <t>23k</t>
  </si>
  <si>
    <t>Sharp</t>
  </si>
  <si>
    <t xml:space="preserve">        71,298 </t>
  </si>
  <si>
    <t xml:space="preserve">        91,416 </t>
  </si>
  <si>
    <t>Sold/Nova</t>
  </si>
  <si>
    <t>UNPAID</t>
  </si>
  <si>
    <t xml:space="preserve">        59,731 </t>
  </si>
  <si>
    <t xml:space="preserve">        52,366 </t>
  </si>
  <si>
    <t xml:space="preserve">       118,880 </t>
  </si>
  <si>
    <t xml:space="preserve">        73,955 </t>
  </si>
  <si>
    <t xml:space="preserve">        86,956 </t>
  </si>
  <si>
    <t>Eurospark</t>
  </si>
  <si>
    <t xml:space="preserve">        77,733 </t>
  </si>
  <si>
    <t xml:space="preserve">       105,382 </t>
  </si>
  <si>
    <t xml:space="preserve">       112,571 </t>
  </si>
  <si>
    <t xml:space="preserve">       174,054 </t>
  </si>
  <si>
    <t xml:space="preserve">       157,464 </t>
  </si>
  <si>
    <t xml:space="preserve">       106,271 </t>
  </si>
  <si>
    <t xml:space="preserve">       128,428 </t>
  </si>
  <si>
    <t xml:space="preserve">        76,447 </t>
  </si>
  <si>
    <t xml:space="preserve">        88,189 </t>
  </si>
  <si>
    <t>Wicked</t>
  </si>
  <si>
    <t xml:space="preserve">       114,526 </t>
  </si>
  <si>
    <t xml:space="preserve">       104,148 </t>
  </si>
  <si>
    <t>David's SC</t>
  </si>
  <si>
    <t>KEEFW-106909</t>
  </si>
  <si>
    <t xml:space="preserve">       178,285 </t>
  </si>
  <si>
    <t xml:space="preserve">        99,318 </t>
  </si>
  <si>
    <t xml:space="preserve">        91,565 </t>
  </si>
  <si>
    <t>Tam's SC</t>
  </si>
  <si>
    <t xml:space="preserve">           44,924 </t>
  </si>
  <si>
    <t xml:space="preserve">        151,982 </t>
  </si>
  <si>
    <t>Hohua's SC</t>
  </si>
  <si>
    <t xml:space="preserve">          64,421 </t>
  </si>
  <si>
    <t>14.5K</t>
  </si>
  <si>
    <t xml:space="preserve">           41,957 </t>
  </si>
  <si>
    <t>Flyaway/Claim</t>
  </si>
  <si>
    <t xml:space="preserve">           62,976 </t>
  </si>
  <si>
    <t xml:space="preserve">           86,617 </t>
  </si>
  <si>
    <t>HFC26-159991</t>
  </si>
  <si>
    <t>Grand Champion A1</t>
  </si>
  <si>
    <t>FHP trading</t>
  </si>
  <si>
    <t>2 CC</t>
  </si>
  <si>
    <t>ZVW30-1210681</t>
  </si>
  <si>
    <t> HE12-045667</t>
  </si>
  <si>
    <t>ZC72S-329659</t>
  </si>
  <si>
    <t>GP7-023154</t>
  </si>
  <si>
    <t>TNT31-006230</t>
  </si>
  <si>
    <t xml:space="preserve">Toyota </t>
  </si>
  <si>
    <t>Prius</t>
  </si>
  <si>
    <t xml:space="preserve">Nissan </t>
  </si>
  <si>
    <t>Note</t>
  </si>
  <si>
    <t xml:space="preserve">Suzuki </t>
  </si>
  <si>
    <t>Swift</t>
  </si>
  <si>
    <t>Subaru</t>
  </si>
  <si>
    <t>X-trail</t>
  </si>
  <si>
    <t>MAJBXXMRKBEL15806</t>
  </si>
  <si>
    <t>Ecosport Titanium</t>
  </si>
  <si>
    <t>Integrity/OBO</t>
  </si>
  <si>
    <t>Cars Online</t>
  </si>
  <si>
    <t>WMC Paint &amp; Panel</t>
  </si>
  <si>
    <t>Empire Autos</t>
  </si>
  <si>
    <t>Sold to Sharp Motors $21,500</t>
  </si>
  <si>
    <t>Sold to TCG for 12k</t>
  </si>
  <si>
    <t>Sold to TCG for 7k</t>
  </si>
  <si>
    <t>Sold to Cars Online for 7k</t>
  </si>
  <si>
    <t>Sold to Keppler for 18k</t>
  </si>
  <si>
    <t>Sold to Keppler for 7k</t>
  </si>
  <si>
    <t>Sold to Keppler for 9k</t>
  </si>
  <si>
    <t>Sold to Keppler for 7,239.34</t>
  </si>
  <si>
    <t>Sold to Ideal Motors for 8k</t>
  </si>
  <si>
    <t>Paid 11k</t>
  </si>
  <si>
    <t>Sold to TCG for 11k</t>
  </si>
  <si>
    <t>Sold to Wheeler Motors for 9k</t>
  </si>
  <si>
    <t>KEEAW-102835</t>
  </si>
  <si>
    <t>Sold to Wheeler 8k</t>
  </si>
  <si>
    <t>GG2W-0011985</t>
  </si>
  <si>
    <t xml:space="preserve">Mitsubishi </t>
  </si>
  <si>
    <t>Compliance</t>
  </si>
  <si>
    <t>Sold Vehicles</t>
  </si>
  <si>
    <t>compliance with PTS</t>
  </si>
  <si>
    <t>compliance with Karbase</t>
  </si>
  <si>
    <t>TRH214-0008316</t>
  </si>
  <si>
    <t>HiAce</t>
  </si>
  <si>
    <t>cancelled from Phenomenal Cars, WOF10/22</t>
  </si>
  <si>
    <t>Cooks Trading</t>
  </si>
  <si>
    <t>KEEFW-103928</t>
  </si>
  <si>
    <t>Mazda</t>
  </si>
  <si>
    <t>CX5</t>
  </si>
  <si>
    <t>White</t>
  </si>
  <si>
    <t>Color</t>
  </si>
  <si>
    <t xml:space="preserve">Outlander </t>
  </si>
  <si>
    <t>NT31-117115</t>
  </si>
  <si>
    <t>Black</t>
  </si>
  <si>
    <t>WMWMR32050TJ92405</t>
  </si>
  <si>
    <t>Mini</t>
  </si>
  <si>
    <t>KAP Cancelled</t>
  </si>
  <si>
    <t>Sold to Ideal Motors for 8k waiting for payment.</t>
  </si>
  <si>
    <t>Compliance: Kaarbase, OBO ideal motors</t>
  </si>
  <si>
    <t>Compliance: Jbing, OBO: Ideal Motors</t>
  </si>
  <si>
    <t>Compliance: PTS</t>
  </si>
  <si>
    <t>Compliance: Jbing</t>
  </si>
  <si>
    <t>Sold to Smart Solutions for 7k</t>
  </si>
  <si>
    <t>Sold to Ideal Motors for 12k</t>
  </si>
  <si>
    <t>Sold to Enterprise Motor Group for 5k</t>
  </si>
  <si>
    <t>Sold to Enterprise Motor Group for 4,200</t>
  </si>
  <si>
    <t>Sold to Smart Solutions for 6k</t>
  </si>
  <si>
    <t>Sold to Nova Motors for 8,200; waiting for payment</t>
  </si>
  <si>
    <t>Sold to Nova Motors for 11,400; waiting for payment</t>
  </si>
  <si>
    <t>JN1TBNT32A0009630</t>
  </si>
  <si>
    <t>Sold to Paddy Maddren for 4,500</t>
  </si>
  <si>
    <t>Sold</t>
  </si>
  <si>
    <t>KE2FW-133497</t>
  </si>
  <si>
    <t>compliance: PTS; Sold to Nova Motors for 12,950; waiting for payment</t>
  </si>
  <si>
    <t>TE52-056645</t>
  </si>
  <si>
    <t>Nissan</t>
  </si>
  <si>
    <t>El Grand</t>
  </si>
  <si>
    <t>CWEFW-122278</t>
  </si>
  <si>
    <t>WBAVL32010VP92283</t>
  </si>
  <si>
    <t>Premacy</t>
  </si>
  <si>
    <t>TNT31-005165</t>
  </si>
  <si>
    <t>Silver</t>
  </si>
  <si>
    <t>YA9-008585</t>
  </si>
  <si>
    <t>Exiga</t>
  </si>
  <si>
    <t>1G1YY0780F5120652</t>
  </si>
  <si>
    <t>KAP Cancelled-Auto Spot</t>
  </si>
  <si>
    <t>Sold to Wheeler 6k</t>
  </si>
  <si>
    <t>Jojo's Sister SC</t>
  </si>
  <si>
    <t>Glenn's SC</t>
  </si>
  <si>
    <t>Vlad's SC</t>
  </si>
  <si>
    <t>Chris' SC</t>
  </si>
  <si>
    <t>Jane's SC</t>
  </si>
  <si>
    <t>SOLD VEHICLES</t>
  </si>
  <si>
    <t>Karbase Compliance</t>
  </si>
  <si>
    <t>Sold to EA for 10,990</t>
  </si>
  <si>
    <t>Sold to EA for 8,510</t>
  </si>
  <si>
    <t>Check wih Jeremy</t>
  </si>
  <si>
    <t>Nino Motors</t>
  </si>
  <si>
    <t>Compliance: PTS 2021, mechanical and Groom invoice</t>
  </si>
  <si>
    <t>Sold to Cooks Trading for 9,650</t>
  </si>
  <si>
    <t>Comments</t>
  </si>
  <si>
    <t>Sold to EA for 8,400</t>
  </si>
  <si>
    <t>Sold to EA for 8,970</t>
  </si>
  <si>
    <t>Sold to EA for 9,800</t>
  </si>
  <si>
    <t>Sold to FHP for 6k</t>
  </si>
  <si>
    <t>Sold to EA for 9,500</t>
  </si>
  <si>
    <t>Sold to Cooks Trading for 7,252.75</t>
  </si>
  <si>
    <t>Sold to Cooks Trading</t>
  </si>
  <si>
    <t>Sold to FHP for 8k</t>
  </si>
  <si>
    <t>Sold to FHP for 6,5k</t>
  </si>
  <si>
    <t>Sold to EA for 12k</t>
  </si>
  <si>
    <t>Sold to EA for 8,300</t>
  </si>
  <si>
    <t>Sold to EA for 7,300</t>
  </si>
  <si>
    <t>Sold to FHP for 4,500</t>
  </si>
  <si>
    <t>Sold to EA for 8,990</t>
  </si>
  <si>
    <t>Invoiced EA for 6,500</t>
  </si>
  <si>
    <t>Invoiced EA for 12K</t>
  </si>
  <si>
    <t>Invoiced Cooks Trading for 7k</t>
  </si>
  <si>
    <t>Invoiced FHP for 5,5k</t>
  </si>
  <si>
    <t>Invoiced EA for 8,607.99</t>
  </si>
  <si>
    <t>Invoiced EA for 12,500</t>
  </si>
  <si>
    <t>Invoiced Cooks Trading for 9,100</t>
  </si>
  <si>
    <t>Invoiced Empire Auto for 19,127.45</t>
  </si>
  <si>
    <t>Sold to EA for 8,922</t>
  </si>
  <si>
    <t>NZ repair</t>
  </si>
  <si>
    <t>compliance: vas</t>
  </si>
  <si>
    <t>AZE156-1008234</t>
  </si>
  <si>
    <t>Sold to TCG for 7,258.37</t>
  </si>
  <si>
    <t>JC-Price</t>
  </si>
  <si>
    <t>Completed and yard ready</t>
  </si>
  <si>
    <t>MAJBXXMRKBEB29869</t>
  </si>
  <si>
    <t>WMC</t>
  </si>
  <si>
    <t>Sold to WMC for 11k</t>
  </si>
  <si>
    <t>KAP Cancelled - Vehicle Imports</t>
  </si>
  <si>
    <t>CX-5      White</t>
  </si>
  <si>
    <t>compliance: PTS</t>
  </si>
  <si>
    <t>WS price</t>
  </si>
  <si>
    <t xml:space="preserve">JC Price </t>
  </si>
  <si>
    <t>NHP10-2169989</t>
  </si>
  <si>
    <t>RM1-1100295</t>
  </si>
  <si>
    <t xml:space="preserve"> (KAP) -  Cancelled-Stadium</t>
  </si>
  <si>
    <t>Sold to Empire Auto for 16,273</t>
  </si>
  <si>
    <t>Waiting on compliance</t>
  </si>
  <si>
    <t>YV1DZ475BC2306704</t>
  </si>
  <si>
    <t>ZVW30-1014406</t>
  </si>
  <si>
    <t>Sold to Alissa Gilbert for 8,996.80</t>
  </si>
  <si>
    <t>ATNZ-Andrew Simms</t>
  </si>
  <si>
    <t>Sold to Keppler</t>
  </si>
  <si>
    <t>WDD2120472A127701</t>
  </si>
  <si>
    <t>KAP Cancelled-Roger Harper</t>
  </si>
  <si>
    <t>E250</t>
  </si>
  <si>
    <t>PBJ511</t>
  </si>
  <si>
    <t>WVWZZZ6RZBU067233</t>
  </si>
  <si>
    <t>KAP Cancelled-Stadium Cars</t>
  </si>
  <si>
    <t>delivered to EA</t>
  </si>
  <si>
    <t>GP5-3054956</t>
  </si>
  <si>
    <t>Remarks</t>
  </si>
  <si>
    <t>WAUZZZ4G6EN123429</t>
  </si>
  <si>
    <t>Audi</t>
  </si>
  <si>
    <t>WBAXL12040DT99283</t>
  </si>
  <si>
    <t>bmw</t>
  </si>
  <si>
    <t>523i</t>
  </si>
  <si>
    <t>WBY1Z42050VX61705</t>
  </si>
  <si>
    <t>I3</t>
  </si>
  <si>
    <t>WBAVL32010VN75753</t>
  </si>
  <si>
    <t>Blue</t>
  </si>
  <si>
    <t>WF0AXXWPMADR74675</t>
  </si>
  <si>
    <t>RB3-1105728</t>
  </si>
  <si>
    <t>Odyssey</t>
  </si>
  <si>
    <t>GRS191-0008502</t>
  </si>
  <si>
    <t>Lexus</t>
  </si>
  <si>
    <t>GRS191-0033686</t>
  </si>
  <si>
    <t xml:space="preserve">GH5FS-101702 </t>
  </si>
  <si>
    <t>Atenza</t>
  </si>
  <si>
    <t>WDD2120472A710820</t>
  </si>
  <si>
    <t>merc-benz</t>
  </si>
  <si>
    <t>e250</t>
  </si>
  <si>
    <t>WDB2110722B114455</t>
  </si>
  <si>
    <t>e550</t>
  </si>
  <si>
    <t>WMWMM32060TL26174</t>
  </si>
  <si>
    <t>Cooper</t>
  </si>
  <si>
    <t>Gray Two-Tone</t>
  </si>
  <si>
    <t>CV4W-0600502</t>
  </si>
  <si>
    <t>Mitsubishi</t>
  </si>
  <si>
    <t>Delica</t>
  </si>
  <si>
    <t>CW4W-5401027</t>
  </si>
  <si>
    <t>Outlander</t>
  </si>
  <si>
    <t>CW5W-5300769</t>
  </si>
  <si>
    <t>Atlas</t>
  </si>
  <si>
    <t>NF15-012622</t>
  </si>
  <si>
    <t>Juke</t>
  </si>
  <si>
    <t>Green</t>
  </si>
  <si>
    <t>PNZ51-001329</t>
  </si>
  <si>
    <t>PNZ50-001551</t>
  </si>
  <si>
    <t>Murano</t>
  </si>
  <si>
    <t>Gold</t>
  </si>
  <si>
    <t>HT32-100610</t>
  </si>
  <si>
    <t>Xtrail</t>
  </si>
  <si>
    <t>Grey</t>
  </si>
  <si>
    <t>NT31-103877</t>
  </si>
  <si>
    <t>NT31-230046</t>
  </si>
  <si>
    <t>Red</t>
  </si>
  <si>
    <t>NT31-060204</t>
  </si>
  <si>
    <t>VF1BRA60AC0669807</t>
  </si>
  <si>
    <t>Renault</t>
  </si>
  <si>
    <t>Lutecia</t>
  </si>
  <si>
    <t>YAM-008128</t>
  </si>
  <si>
    <t>Dark Blue</t>
  </si>
  <si>
    <t>SH5-019500</t>
  </si>
  <si>
    <t>Forester</t>
  </si>
  <si>
    <t>BR9-034985</t>
  </si>
  <si>
    <t>AZE156-1035237</t>
  </si>
  <si>
    <t>Blade</t>
  </si>
  <si>
    <t>ZVW30-1830721</t>
  </si>
  <si>
    <t>WVWZZZ1KZAM622323</t>
  </si>
  <si>
    <t>Volkswagen</t>
  </si>
  <si>
    <t>golf</t>
  </si>
  <si>
    <t>WVWZZZ1KZ8M254928</t>
  </si>
  <si>
    <t>blue</t>
  </si>
  <si>
    <t>WVWZZZ1KZAW042917</t>
  </si>
  <si>
    <t>Golf</t>
  </si>
  <si>
    <t>WVGZZZ7LZ8D031348</t>
  </si>
  <si>
    <t>touareg</t>
  </si>
  <si>
    <t>YV1FS485BD2194159</t>
  </si>
  <si>
    <t>S60</t>
  </si>
  <si>
    <t>YV1FS485BD2189039</t>
  </si>
  <si>
    <t>Gray</t>
  </si>
  <si>
    <t>YV1FS485BC2079302</t>
  </si>
  <si>
    <t>SILVER</t>
  </si>
  <si>
    <t>Vlad</t>
  </si>
  <si>
    <t>GP7-034558</t>
  </si>
  <si>
    <t>complied</t>
  </si>
  <si>
    <t>VM4-035823</t>
  </si>
  <si>
    <t>LEVORG</t>
  </si>
  <si>
    <t>grooming</t>
  </si>
  <si>
    <t>WAUZZZ8R4BA105462</t>
  </si>
  <si>
    <t>Q5</t>
  </si>
  <si>
    <t>ZC72S-102489</t>
  </si>
  <si>
    <t>KAP Cancelled-Money3/FCM</t>
  </si>
  <si>
    <t>SWIFT  NAS866</t>
  </si>
  <si>
    <t>compliance invoice, sold to Hawkes bay for 8,830</t>
  </si>
  <si>
    <t>Sold to Carsonline for 8,176.50</t>
  </si>
  <si>
    <t>KE2AW-204026</t>
  </si>
  <si>
    <t>Wholesale South-874482</t>
  </si>
  <si>
    <t>Sold to Linton Reuben for 13,250.95</t>
  </si>
  <si>
    <t>compliance and deluxe wash invoice, sold to FHP for 10k</t>
  </si>
  <si>
    <t>Sold to Smart Solution for 7,500</t>
  </si>
  <si>
    <t>Sold to TCG for 10,213.90</t>
  </si>
  <si>
    <t>request for upload to JC</t>
  </si>
  <si>
    <t>KAP Cancelled - Majik Motors</t>
  </si>
  <si>
    <t>WMWMF72090TV00255</t>
  </si>
  <si>
    <t>2008</t>
  </si>
  <si>
    <t>complied: Karbase, paint and panel and mechanical check invoice</t>
  </si>
  <si>
    <t>complied: karbase</t>
  </si>
  <si>
    <t>compliance: Karbase; waiting for MR2A from NZTA</t>
  </si>
  <si>
    <t>Complied: Karbase/battery invoice/grooming invoice</t>
  </si>
  <si>
    <t>KE2FW-120883</t>
  </si>
  <si>
    <t>WAUZZZ8F8BN017724</t>
  </si>
  <si>
    <t>S5</t>
  </si>
  <si>
    <t>Sold to Sharp Motors</t>
  </si>
  <si>
    <t>PEL966-WOF12/22</t>
  </si>
  <si>
    <t>MR2A-WOF03/22</t>
  </si>
  <si>
    <t>MR2A-WOF11/21</t>
  </si>
  <si>
    <t>De-reg</t>
  </si>
  <si>
    <t>WVWZZZ3BZ4E235716</t>
  </si>
  <si>
    <t>BLUE</t>
  </si>
  <si>
    <t>KPF476-WOF08/21</t>
  </si>
  <si>
    <t>NEB715</t>
  </si>
  <si>
    <t>MR2A-WOF10/21</t>
  </si>
  <si>
    <t>WOF08/22</t>
  </si>
  <si>
    <t>recompliance with Karbase</t>
  </si>
  <si>
    <t>KAP Office</t>
  </si>
  <si>
    <t>Scrap, Failed Repair Cert</t>
  </si>
  <si>
    <t>PDC892-WOF10/22</t>
  </si>
  <si>
    <t>WOF07/23</t>
  </si>
  <si>
    <t>No de-reg</t>
  </si>
  <si>
    <t>WOF03/22</t>
  </si>
  <si>
    <t>PDC882-WOF04/22</t>
  </si>
  <si>
    <t>WOF11/21</t>
  </si>
  <si>
    <t>WOF01/22</t>
  </si>
  <si>
    <t>MR2A-WOF05/22</t>
  </si>
  <si>
    <t>WOF11/22</t>
  </si>
  <si>
    <t>Autozam Wholesale Ltd</t>
  </si>
  <si>
    <t>NLN906</t>
  </si>
  <si>
    <t>NT31-004838</t>
  </si>
  <si>
    <t>Wholesale North-874481</t>
  </si>
  <si>
    <t>BLEFW-107804</t>
  </si>
  <si>
    <t>CW5W-0201536</t>
  </si>
  <si>
    <t>TE52-001351</t>
  </si>
  <si>
    <t>ELGRAND</t>
  </si>
  <si>
    <t>MR2A-WOF08/22, Sold to Sharp Motors for 8k</t>
  </si>
  <si>
    <t>HiAce Mini Bus</t>
  </si>
  <si>
    <t>KAP Cancelled-Majik Motors</t>
  </si>
  <si>
    <t>KAP Cancelled-POA-Stadium Cars</t>
  </si>
  <si>
    <t>Waiting on repairs, request for upload to JC and update JC</t>
  </si>
  <si>
    <t>Sold to Ideal Motors for 11,500</t>
  </si>
  <si>
    <t>XC60</t>
  </si>
  <si>
    <t>Wholesale North</t>
  </si>
  <si>
    <t>KAP Cancelled-Chance Cars</t>
  </si>
  <si>
    <t>NHP10-2133781</t>
  </si>
  <si>
    <t>WBAFG82000LL79658</t>
  </si>
  <si>
    <t>X6</t>
  </si>
  <si>
    <t>Vlad's storage</t>
  </si>
  <si>
    <t>KAP Cancelled-Stadium</t>
  </si>
  <si>
    <t>Empire Auto</t>
  </si>
  <si>
    <t>Sold to Sharp Motors $5,000</t>
  </si>
  <si>
    <t>Sold to Sharp Motors for 7,500</t>
  </si>
  <si>
    <t>motorsport</t>
  </si>
  <si>
    <t>LY1110005323</t>
  </si>
  <si>
    <t>CAMROAD</t>
  </si>
  <si>
    <t>repair cert</t>
  </si>
  <si>
    <t>Sold for 6k</t>
  </si>
  <si>
    <t>KAP Cancelled-ATNZ</t>
  </si>
  <si>
    <t>HVS</t>
  </si>
  <si>
    <t>KAP Cancelled-Manheim</t>
  </si>
  <si>
    <t>Sold to Ryo Keatley for 8k</t>
  </si>
  <si>
    <t>NT31-110351</t>
  </si>
  <si>
    <t>NCP120-2048986</t>
  </si>
  <si>
    <t>RACTIS</t>
  </si>
  <si>
    <t>justcar for upload</t>
  </si>
  <si>
    <t>KE2FW-100939</t>
  </si>
  <si>
    <t>WAUZZZ8T1DA040407</t>
  </si>
  <si>
    <t>Sold to Sharp Motors for 19,827.10</t>
  </si>
  <si>
    <t>Sold to Nigel for 7k</t>
  </si>
  <si>
    <t>PDC918</t>
  </si>
  <si>
    <t>Sold for 7k</t>
  </si>
  <si>
    <t>Sold for 8,500</t>
  </si>
  <si>
    <t>Rego</t>
  </si>
  <si>
    <t>PDC894</t>
  </si>
  <si>
    <t>PKA832</t>
  </si>
  <si>
    <t>NZD329</t>
  </si>
  <si>
    <t>PDQ843</t>
  </si>
  <si>
    <t>PED408</t>
  </si>
  <si>
    <t>PEK618</t>
  </si>
  <si>
    <t>PCM134</t>
  </si>
  <si>
    <t>PED398</t>
  </si>
  <si>
    <t>PJU86</t>
  </si>
  <si>
    <t>MR2A</t>
  </si>
  <si>
    <t>PET629</t>
  </si>
  <si>
    <t>PCQ760</t>
  </si>
  <si>
    <t>PDQ842</t>
  </si>
  <si>
    <t>PDH277</t>
  </si>
  <si>
    <t>PDQ845</t>
  </si>
  <si>
    <t>PEL964</t>
  </si>
  <si>
    <t>PED392</t>
  </si>
  <si>
    <t>PED407</t>
  </si>
  <si>
    <t>PCM135</t>
  </si>
  <si>
    <t>PET644</t>
  </si>
  <si>
    <t>PDH278</t>
  </si>
  <si>
    <t>PDY333</t>
  </si>
  <si>
    <t>PDC885</t>
  </si>
  <si>
    <t>PDC919</t>
  </si>
  <si>
    <t>PET600</t>
  </si>
  <si>
    <t>PED406</t>
  </si>
  <si>
    <t>PEY730</t>
  </si>
  <si>
    <t>PEL963</t>
  </si>
  <si>
    <t>PEL962</t>
  </si>
  <si>
    <t>PEK619</t>
  </si>
  <si>
    <t>PEL961</t>
  </si>
  <si>
    <t>PDQ854</t>
  </si>
  <si>
    <t>PDN862</t>
  </si>
  <si>
    <t>PGA677</t>
  </si>
  <si>
    <t>PDN806</t>
  </si>
  <si>
    <t>PCQ728</t>
  </si>
  <si>
    <t>NZZ324</t>
  </si>
  <si>
    <t>NZD328</t>
  </si>
  <si>
    <t>NUS553</t>
  </si>
  <si>
    <t>PEF695</t>
  </si>
  <si>
    <t>PDN860</t>
  </si>
  <si>
    <t>PDC873</t>
  </si>
  <si>
    <t>PJM646</t>
  </si>
  <si>
    <t>MYY190</t>
  </si>
  <si>
    <t>PDF78</t>
  </si>
  <si>
    <t>PEF688</t>
  </si>
  <si>
    <t>NYR124</t>
  </si>
  <si>
    <t>PDS437</t>
  </si>
  <si>
    <t>PEK634</t>
  </si>
  <si>
    <t>NWR48</t>
  </si>
  <si>
    <t>PED390</t>
  </si>
  <si>
    <t>NAA804</t>
  </si>
  <si>
    <t>PHL939</t>
  </si>
  <si>
    <t>PDS435</t>
  </si>
  <si>
    <t>PER150</t>
  </si>
  <si>
    <t>PJD946</t>
  </si>
  <si>
    <t>PDS434</t>
  </si>
  <si>
    <t>PET630</t>
  </si>
  <si>
    <t>PET628</t>
  </si>
  <si>
    <t>PET626</t>
  </si>
  <si>
    <t>PKL952</t>
  </si>
  <si>
    <t>Complied</t>
  </si>
  <si>
    <t>PEQ31</t>
  </si>
  <si>
    <t>PDS436</t>
  </si>
  <si>
    <t>PAW480</t>
  </si>
  <si>
    <t>PER147</t>
  </si>
  <si>
    <t>MUT821</t>
  </si>
  <si>
    <t>MPT200</t>
  </si>
  <si>
    <t>NAS866</t>
  </si>
  <si>
    <t>MQS145</t>
  </si>
  <si>
    <t>PDS895</t>
  </si>
  <si>
    <t>Uncomplied</t>
  </si>
  <si>
    <t>PDC917</t>
  </si>
  <si>
    <t>NGQ911</t>
  </si>
  <si>
    <t>PDQ846</t>
  </si>
  <si>
    <t>PDD666</t>
  </si>
  <si>
    <t>PED404</t>
  </si>
  <si>
    <t>NTK882</t>
  </si>
  <si>
    <t>PEH642</t>
  </si>
  <si>
    <t>PET624</t>
  </si>
  <si>
    <t>PET625</t>
  </si>
  <si>
    <t>PET627</t>
  </si>
  <si>
    <t>PJD974</t>
  </si>
  <si>
    <t>PEA655</t>
  </si>
  <si>
    <t>PKK115</t>
  </si>
  <si>
    <t>PJZ300</t>
  </si>
  <si>
    <t>Registered</t>
  </si>
  <si>
    <t>Jojo's Brother</t>
  </si>
  <si>
    <t>PDC892</t>
  </si>
  <si>
    <t>PEL965</t>
  </si>
  <si>
    <t>PDC882</t>
  </si>
  <si>
    <t>Sold to 2CC</t>
  </si>
  <si>
    <t>KAP Cancelled account</t>
  </si>
  <si>
    <t>Sold for 7,2k</t>
  </si>
  <si>
    <t>Sold for 6,5k</t>
  </si>
  <si>
    <t>Sold for 9k</t>
  </si>
  <si>
    <t>Sold to EMG-Manukau for 4k</t>
  </si>
  <si>
    <t>Sold to EMG-Manukau for 7,5k</t>
  </si>
  <si>
    <t>Sold to EMG-Manukau for 8,5k</t>
  </si>
  <si>
    <t>Sold to EMG-Manukau for 5,5k</t>
  </si>
  <si>
    <t>Sold to EMG-Manukau for 4,5k</t>
  </si>
  <si>
    <t>Sold to EMG-Manukau 5,5k</t>
  </si>
  <si>
    <t>Sold to EMG-Manukau for 7k</t>
  </si>
  <si>
    <t>Sold to EMG-Manukau for 6k</t>
  </si>
  <si>
    <t>Sold to EMG-Manukau for 12.5k</t>
  </si>
  <si>
    <t>TYLER</t>
  </si>
  <si>
    <t>143,450</t>
  </si>
  <si>
    <t>EMG-Manukau</t>
  </si>
  <si>
    <t>OBO</t>
  </si>
  <si>
    <t>Steve Cook -OBO</t>
  </si>
  <si>
    <t>Sold to FHP for 20k</t>
  </si>
  <si>
    <t>Sold to FHP for 19K</t>
  </si>
  <si>
    <t>GK3-1022271</t>
  </si>
  <si>
    <t>HFC26-146557</t>
  </si>
  <si>
    <t>ZVW30-1355678</t>
  </si>
  <si>
    <t>ZVW30-1555463</t>
  </si>
  <si>
    <t>Frontier Ace 190a (KZ)</t>
  </si>
  <si>
    <t>WMWSS12030WN74740</t>
  </si>
  <si>
    <t>KAP Cancelled - George Master</t>
  </si>
  <si>
    <t>PCQ759</t>
  </si>
  <si>
    <t>Kiwi Auto Motors</t>
  </si>
  <si>
    <t>PDS683</t>
  </si>
  <si>
    <t>Sold to 2CC for 5k</t>
  </si>
  <si>
    <t>B2</t>
  </si>
  <si>
    <t>C2</t>
  </si>
  <si>
    <t>D2</t>
  </si>
  <si>
    <t>E2</t>
  </si>
  <si>
    <t>F2</t>
  </si>
  <si>
    <t>G2</t>
  </si>
  <si>
    <t>Glenn's service car</t>
  </si>
  <si>
    <t>Autozam</t>
  </si>
  <si>
    <t>JEZ Motors</t>
  </si>
  <si>
    <t>silver</t>
  </si>
  <si>
    <t>c5</t>
  </si>
  <si>
    <t>g4</t>
  </si>
  <si>
    <t>black</t>
  </si>
  <si>
    <t>Sold to 2CC for 6,5k</t>
  </si>
  <si>
    <t>Sold to JEZ Motors for 10k</t>
  </si>
  <si>
    <t>Sold for 12k</t>
  </si>
  <si>
    <t>Sold to 2CC for 11k</t>
  </si>
  <si>
    <t>Sold to 2CC for 7,5k</t>
  </si>
  <si>
    <t>Sold to 2CC for 6k</t>
  </si>
  <si>
    <t>Sold to 2cc FOR 7K</t>
  </si>
  <si>
    <t>request</t>
  </si>
  <si>
    <t>Current Listing in Justcar</t>
  </si>
  <si>
    <t>Sold to EMG-Manukau for 5K</t>
  </si>
  <si>
    <t>Navy Blue</t>
  </si>
  <si>
    <t>NEL142</t>
  </si>
  <si>
    <t>TZ51-011302</t>
  </si>
  <si>
    <t>Sold for 11k</t>
  </si>
  <si>
    <t>2017</t>
  </si>
  <si>
    <t>VAS Storage</t>
  </si>
  <si>
    <t>KAP Cancelled - ATNZ Stadium Cars</t>
  </si>
  <si>
    <t>SH5-081901</t>
  </si>
  <si>
    <t>FHP Trading Ltd</t>
  </si>
  <si>
    <t>KAP Cancelled - Regent Car Court</t>
  </si>
  <si>
    <t>Walrus 32a</t>
  </si>
  <si>
    <t>Wholesale South - Non Maxcare</t>
  </si>
  <si>
    <t>Chris</t>
  </si>
  <si>
    <t>OBO FHP Trading Ltd</t>
  </si>
  <si>
    <t>Sold to Sharp Motors for 10,500</t>
  </si>
  <si>
    <t>Sold for 10,700</t>
  </si>
  <si>
    <t>justcar current listing</t>
  </si>
  <si>
    <t>NZE181-6007233</t>
  </si>
  <si>
    <t>Empire Autos Limited</t>
  </si>
  <si>
    <t>GP1-1222303</t>
  </si>
  <si>
    <t>GPE-003595</t>
  </si>
  <si>
    <t>XV HYBRID</t>
  </si>
  <si>
    <t>Empire auto</t>
  </si>
  <si>
    <t>OBO FHP Trading Ltd, Buggered engine</t>
  </si>
  <si>
    <t>Euromotive:mechanical check and repair.</t>
  </si>
  <si>
    <t>OBO FHP Trading Ltd, For WOF update.</t>
  </si>
  <si>
    <t>OBO Kiwi Auto Motors</t>
  </si>
  <si>
    <t>OBO Kiwi Auto Motors. Missing drip rails</t>
  </si>
  <si>
    <t>OBO Kiwi Auto Motors. WOF updated</t>
  </si>
  <si>
    <t>OBO Kiwi Auto Motors, booked for transport</t>
  </si>
  <si>
    <t>OBO Autozam Wholesale Ltd</t>
  </si>
  <si>
    <t>OBO Empire, justcar current listing</t>
  </si>
  <si>
    <t>OBO Empire, current listing in JC</t>
  </si>
  <si>
    <t>For servicing</t>
  </si>
  <si>
    <t>Motiira's service car</t>
  </si>
  <si>
    <t>Buggered engine</t>
  </si>
  <si>
    <t>Sold to EMG-Manukau for 7k, returned</t>
  </si>
  <si>
    <t>WBSNB92000CU18535</t>
  </si>
  <si>
    <t>2007 BMW M5 White</t>
  </si>
  <si>
    <t>SAJKC44K775B08930</t>
  </si>
  <si>
    <t>XK</t>
  </si>
  <si>
    <t>Beacham Jaguar</t>
  </si>
  <si>
    <t>No compliance yet</t>
  </si>
  <si>
    <t>KAP Cancelled - ATNZ Euro Center</t>
  </si>
  <si>
    <t>WAUZZZ8V9EA116667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</si>
</sst>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43" formatCode="_-* #,##0.00_-;\-* #,##0.00_-;_-* &quot;-&quot;??_-;_-@_-"/>
    <numFmt numFmtId="164" formatCode="d/m/yyyy"/>
    <numFmt numFmtId="165" formatCode="_-* #,##0_-;\-* #,##0_-;_-* &quot;-&quot;??_-;_-@"/>
    <numFmt numFmtId="166" formatCode="[$-10409]0"/>
    <numFmt numFmtId="167" formatCode="_-* #,##0.00_-;\-* #,##0.00_-;_-* &quot;-&quot;??_-;_-@"/>
    <numFmt numFmtId="168" formatCode="[$-10409]m/d/yyyy"/>
    <numFmt numFmtId="169" formatCode="_-* #,##0_-;\-* #,##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rgb="FFFFFFFF"/>
      <name val="Tahoma"/>
      <family val="2"/>
    </font>
    <font>
      <b/>
      <u/>
      <sz val="8"/>
      <color rgb="FFFFFFFF"/>
      <name val="Tahoma"/>
      <family val="2"/>
    </font>
    <font>
      <sz val="10"/>
      <color rgb="FF000000"/>
      <name val="Tahoma"/>
      <family val="2"/>
    </font>
    <font>
      <u/>
      <sz val="10"/>
      <color rgb="FF0000FF"/>
      <name val="Tahoma"/>
      <family val="2"/>
    </font>
    <font>
      <sz val="11"/>
      <color rgb="FF000000"/>
      <name val="Tahoma"/>
      <family val="2"/>
    </font>
    <font>
      <sz val="11"/>
      <color theme="1"/>
      <name val="Calibri"/>
      <family val="2"/>
    </font>
    <font>
      <u/>
      <sz val="10"/>
      <color rgb="FF0563C1"/>
      <name val="Tahoma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0070C0"/>
      <name val="Calibri"/>
      <family val="2"/>
    </font>
    <font>
      <u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070C0"/>
      <name val="Calibri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u/>
      <sz val="10"/>
      <color theme="1"/>
      <name val="Tahoma"/>
      <family val="2"/>
    </font>
    <font>
      <sz val="10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u/>
      <sz val="11"/>
      <color rgb="FF0070C0"/>
      <name val="Tahoma"/>
      <family val="2"/>
    </font>
    <font>
      <b/>
      <sz val="14"/>
      <color theme="1"/>
      <name val="Calibri"/>
      <family val="2"/>
      <scheme val="minor"/>
    </font>
    <font>
      <sz val="10"/>
      <color rgb="FF0070C0"/>
      <name val="Arial"/>
      <family val="2"/>
    </font>
    <font>
      <u/>
      <sz val="10"/>
      <color rgb="FF0070C0"/>
      <name val="Arial"/>
      <family val="2"/>
    </font>
    <font>
      <sz val="11"/>
      <color theme="1"/>
      <name val="Roboto"/>
    </font>
    <font>
      <sz val="11"/>
      <color rgb="FF333333"/>
      <name val="Calibri"/>
      <family val="2"/>
    </font>
    <font>
      <sz val="11"/>
      <color rgb="FF222222"/>
      <name val="Calibri"/>
      <family val="2"/>
    </font>
    <font>
      <b/>
      <sz val="12"/>
      <color theme="0"/>
      <name val="Calibri"/>
      <family val="2"/>
    </font>
    <font>
      <u/>
      <sz val="11"/>
      <color theme="1"/>
      <name val="Calibri"/>
      <family val="2"/>
      <scheme val="minor"/>
    </font>
    <font>
      <sz val="10"/>
      <color rgb="FF19519D"/>
      <name val="Arial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"/>
      <name val="Tahoma"/>
      <family val="2"/>
    </font>
    <font>
      <u/>
      <sz val="11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00B0F0"/>
        <bgColor rgb="FF00B0F0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0"/>
        <bgColor rgb="FF00B0F0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theme="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/>
      <right style="medium">
        <color rgb="FFD3D3D3"/>
      </right>
      <top/>
      <bottom/>
      <diagonal/>
    </border>
    <border>
      <left/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7" fillId="0" borderId="0"/>
    <xf numFmtId="0" fontId="21" fillId="0" borderId="0" applyNumberFormat="0" applyFill="0" applyBorder="0" applyAlignment="0" applyProtection="0"/>
  </cellStyleXfs>
  <cellXfs count="437">
    <xf numFmtId="0" fontId="0" fillId="0" borderId="0" xfId="0"/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164" fontId="6" fillId="0" borderId="1" xfId="0" applyNumberFormat="1" applyFont="1" applyBorder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166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67" fontId="7" fillId="0" borderId="0" xfId="0" applyNumberFormat="1" applyFont="1"/>
    <xf numFmtId="0" fontId="7" fillId="0" borderId="0" xfId="0" applyFont="1"/>
    <xf numFmtId="168" fontId="4" fillId="0" borderId="1" xfId="0" applyNumberFormat="1" applyFont="1" applyBorder="1" applyAlignment="1">
      <alignment horizontal="center" vertical="top"/>
    </xf>
    <xf numFmtId="165" fontId="4" fillId="0" borderId="3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68" fontId="4" fillId="0" borderId="1" xfId="0" applyNumberFormat="1" applyFont="1" applyBorder="1" applyAlignment="1">
      <alignment horizontal="center" vertical="top" readingOrder="1"/>
    </xf>
    <xf numFmtId="0" fontId="4" fillId="0" borderId="0" xfId="0" applyFont="1" applyAlignment="1">
      <alignment vertical="top"/>
    </xf>
    <xf numFmtId="166" fontId="4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readingOrder="1"/>
    </xf>
    <xf numFmtId="0" fontId="8" fillId="0" borderId="1" xfId="0" applyFont="1" applyBorder="1" applyAlignment="1">
      <alignment vertical="top"/>
    </xf>
    <xf numFmtId="165" fontId="4" fillId="0" borderId="1" xfId="0" applyNumberFormat="1" applyFont="1" applyBorder="1" applyAlignment="1">
      <alignment horizontal="center" vertical="top"/>
    </xf>
    <xf numFmtId="0" fontId="7" fillId="0" borderId="1" xfId="0" applyFont="1" applyBorder="1"/>
    <xf numFmtId="165" fontId="7" fillId="0" borderId="1" xfId="0" applyNumberFormat="1" applyFont="1" applyBorder="1"/>
    <xf numFmtId="166" fontId="4" fillId="0" borderId="1" xfId="0" applyNumberFormat="1" applyFont="1" applyBorder="1" applyAlignment="1">
      <alignment horizontal="center" vertical="top" readingOrder="1"/>
    </xf>
    <xf numFmtId="0" fontId="4" fillId="0" borderId="1" xfId="0" applyFont="1" applyBorder="1" applyAlignment="1">
      <alignment horizontal="left" vertical="top" readingOrder="1"/>
    </xf>
    <xf numFmtId="0" fontId="10" fillId="0" borderId="1" xfId="0" applyFont="1" applyBorder="1" applyAlignment="1">
      <alignment horizontal="left" vertical="top" readingOrder="1"/>
    </xf>
    <xf numFmtId="165" fontId="7" fillId="0" borderId="0" xfId="0" applyNumberFormat="1" applyFont="1"/>
    <xf numFmtId="0" fontId="11" fillId="0" borderId="1" xfId="0" applyFont="1" applyBorder="1" applyAlignment="1">
      <alignment vertical="top" readingOrder="1"/>
    </xf>
    <xf numFmtId="169" fontId="11" fillId="0" borderId="1" xfId="1" applyNumberFormat="1" applyFont="1" applyBorder="1" applyAlignment="1">
      <alignment vertical="top" readingOrder="1"/>
    </xf>
    <xf numFmtId="0" fontId="11" fillId="0" borderId="1" xfId="2" applyFont="1" applyBorder="1" applyAlignment="1">
      <alignment vertical="top" readingOrder="1"/>
    </xf>
    <xf numFmtId="169" fontId="11" fillId="0" borderId="1" xfId="1" applyNumberFormat="1" applyFont="1" applyFill="1" applyBorder="1" applyAlignment="1">
      <alignment vertical="top" readingOrder="1"/>
    </xf>
    <xf numFmtId="0" fontId="7" fillId="7" borderId="0" xfId="0" applyFont="1" applyFill="1"/>
    <xf numFmtId="0" fontId="4" fillId="8" borderId="1" xfId="0" applyFont="1" applyFill="1" applyBorder="1" applyAlignment="1">
      <alignment vertical="top"/>
    </xf>
    <xf numFmtId="4" fontId="0" fillId="0" borderId="0" xfId="0" applyNumberFormat="1"/>
    <xf numFmtId="165" fontId="7" fillId="9" borderId="0" xfId="0" applyNumberFormat="1" applyFont="1" applyFill="1"/>
    <xf numFmtId="0" fontId="5" fillId="4" borderId="1" xfId="0" applyFont="1" applyFill="1" applyBorder="1" applyAlignment="1">
      <alignment vertical="top"/>
    </xf>
    <xf numFmtId="0" fontId="11" fillId="0" borderId="1" xfId="0" applyFont="1" applyBorder="1" applyAlignment="1">
      <alignment vertical="top" wrapText="1" readingOrder="1"/>
    </xf>
    <xf numFmtId="14" fontId="7" fillId="0" borderId="1" xfId="0" applyNumberFormat="1" applyFont="1" applyBorder="1"/>
    <xf numFmtId="0" fontId="13" fillId="0" borderId="1" xfId="0" applyFont="1" applyBorder="1" applyAlignment="1">
      <alignment horizontal="left" vertical="top" readingOrder="1"/>
    </xf>
    <xf numFmtId="0" fontId="14" fillId="0" borderId="1" xfId="0" applyFont="1" applyBorder="1" applyAlignment="1">
      <alignment horizontal="left" vertical="top" readingOrder="1"/>
    </xf>
    <xf numFmtId="14" fontId="0" fillId="0" borderId="1" xfId="0" applyNumberFormat="1" applyBorder="1"/>
    <xf numFmtId="165" fontId="15" fillId="0" borderId="0" xfId="0" applyNumberFormat="1" applyFont="1" applyAlignment="1">
      <alignment horizontal="left" vertical="top" readingOrder="1"/>
    </xf>
    <xf numFmtId="14" fontId="0" fillId="0" borderId="0" xfId="0" applyNumberFormat="1"/>
    <xf numFmtId="0" fontId="16" fillId="0" borderId="1" xfId="0" applyFont="1" applyBorder="1" applyAlignment="1">
      <alignment horizontal="left" vertical="top" readingOrder="1"/>
    </xf>
    <xf numFmtId="14" fontId="7" fillId="0" borderId="0" xfId="0" applyNumberFormat="1" applyFont="1"/>
    <xf numFmtId="165" fontId="11" fillId="0" borderId="0" xfId="0" applyNumberFormat="1" applyFont="1" applyAlignment="1">
      <alignment horizontal="left" vertical="top" readingOrder="1"/>
    </xf>
    <xf numFmtId="0" fontId="9" fillId="0" borderId="1" xfId="0" applyFont="1" applyBorder="1" applyAlignment="1">
      <alignment horizontal="left" vertical="top" readingOrder="1"/>
    </xf>
    <xf numFmtId="0" fontId="11" fillId="0" borderId="1" xfId="2" applyFont="1" applyBorder="1" applyAlignment="1">
      <alignment vertical="top" wrapText="1" readingOrder="1"/>
    </xf>
    <xf numFmtId="43" fontId="0" fillId="0" borderId="0" xfId="1" applyFont="1" applyAlignment="1"/>
    <xf numFmtId="165" fontId="7" fillId="0" borderId="5" xfId="0" applyNumberFormat="1" applyFont="1" applyBorder="1"/>
    <xf numFmtId="0" fontId="18" fillId="0" borderId="1" xfId="0" applyFont="1" applyBorder="1" applyAlignment="1">
      <alignment vertical="top" readingOrder="1"/>
    </xf>
    <xf numFmtId="0" fontId="1" fillId="0" borderId="0" xfId="0" applyFont="1"/>
    <xf numFmtId="43" fontId="0" fillId="0" borderId="0" xfId="1" applyFont="1"/>
    <xf numFmtId="0" fontId="2" fillId="2" borderId="6" xfId="0" applyFont="1" applyFill="1" applyBorder="1" applyAlignment="1">
      <alignment vertical="top"/>
    </xf>
    <xf numFmtId="0" fontId="19" fillId="5" borderId="1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3" fillId="2" borderId="3" xfId="0" applyFont="1" applyFill="1" applyBorder="1" applyAlignment="1">
      <alignment horizontal="center" vertical="top"/>
    </xf>
    <xf numFmtId="167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167" fontId="4" fillId="0" borderId="0" xfId="0" applyNumberFormat="1" applyFont="1" applyAlignment="1">
      <alignment vertical="top"/>
    </xf>
    <xf numFmtId="167" fontId="4" fillId="0" borderId="6" xfId="0" applyNumberFormat="1" applyFont="1" applyBorder="1" applyAlignment="1">
      <alignment vertical="top"/>
    </xf>
    <xf numFmtId="0" fontId="7" fillId="10" borderId="0" xfId="0" applyFont="1" applyFill="1"/>
    <xf numFmtId="0" fontId="7" fillId="0" borderId="6" xfId="0" applyFont="1" applyBorder="1"/>
    <xf numFmtId="167" fontId="7" fillId="0" borderId="1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167" fontId="7" fillId="0" borderId="6" xfId="0" applyNumberFormat="1" applyFont="1" applyBorder="1" applyAlignment="1">
      <alignment vertical="top"/>
    </xf>
    <xf numFmtId="167" fontId="4" fillId="0" borderId="3" xfId="0" applyNumberFormat="1" applyFont="1" applyBorder="1" applyAlignment="1">
      <alignment vertical="top"/>
    </xf>
    <xf numFmtId="0" fontId="7" fillId="0" borderId="3" xfId="0" applyFont="1" applyBorder="1" applyAlignment="1">
      <alignment vertical="top"/>
    </xf>
    <xf numFmtId="167" fontId="7" fillId="0" borderId="0" xfId="0" applyNumberFormat="1" applyFont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left" vertical="top" readingOrder="1"/>
    </xf>
    <xf numFmtId="169" fontId="11" fillId="0" borderId="2" xfId="1" applyNumberFormat="1" applyFont="1" applyFill="1" applyBorder="1" applyAlignment="1">
      <alignment vertical="top" readingOrder="1"/>
    </xf>
    <xf numFmtId="0" fontId="2" fillId="11" borderId="7" xfId="0" applyFont="1" applyFill="1" applyBorder="1" applyAlignment="1">
      <alignment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1" fillId="0" borderId="10" xfId="4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3" fontId="4" fillId="0" borderId="0" xfId="1" applyFont="1" applyFill="1" applyBorder="1" applyAlignment="1">
      <alignment horizontal="center" vertical="center"/>
    </xf>
    <xf numFmtId="0" fontId="21" fillId="3" borderId="10" xfId="4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1" fillId="0" borderId="12" xfId="4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21" fillId="4" borderId="10" xfId="4" applyFill="1" applyBorder="1" applyAlignment="1">
      <alignment vertical="center"/>
    </xf>
    <xf numFmtId="0" fontId="21" fillId="0" borderId="0" xfId="4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1" fillId="0" borderId="13" xfId="4" applyBorder="1" applyAlignment="1">
      <alignment vertical="center"/>
    </xf>
    <xf numFmtId="0" fontId="21" fillId="0" borderId="7" xfId="4" applyBorder="1" applyAlignment="1">
      <alignment vertical="center"/>
    </xf>
    <xf numFmtId="0" fontId="21" fillId="12" borderId="10" xfId="4" applyFill="1" applyBorder="1" applyAlignment="1">
      <alignment vertical="center"/>
    </xf>
    <xf numFmtId="0" fontId="7" fillId="3" borderId="0" xfId="0" applyFont="1" applyFill="1"/>
    <xf numFmtId="167" fontId="7" fillId="0" borderId="0" xfId="0" applyNumberFormat="1" applyFont="1" applyFill="1" applyBorder="1"/>
    <xf numFmtId="167" fontId="0" fillId="0" borderId="0" xfId="0" applyNumberFormat="1"/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43" fontId="4" fillId="0" borderId="0" xfId="1" applyFont="1" applyFill="1" applyBorder="1" applyAlignment="1">
      <alignment horizontal="left" vertical="center"/>
    </xf>
    <xf numFmtId="0" fontId="7" fillId="0" borderId="0" xfId="0" applyFont="1" applyFill="1" applyBorder="1"/>
    <xf numFmtId="0" fontId="22" fillId="0" borderId="1" xfId="0" applyFont="1" applyBorder="1" applyAlignment="1">
      <alignment vertical="top" wrapText="1" readingOrder="1"/>
    </xf>
    <xf numFmtId="0" fontId="11" fillId="0" borderId="1" xfId="0" applyFont="1" applyBorder="1" applyAlignment="1">
      <alignment horizontal="left" vertical="top" wrapText="1" readingOrder="1"/>
    </xf>
    <xf numFmtId="0" fontId="7" fillId="0" borderId="0" xfId="0" applyFont="1" applyAlignment="1">
      <alignment horizontal="left"/>
    </xf>
    <xf numFmtId="166" fontId="4" fillId="0" borderId="0" xfId="0" applyNumberFormat="1" applyFont="1" applyBorder="1" applyAlignment="1">
      <alignment horizontal="left" vertical="top" readingOrder="1"/>
    </xf>
    <xf numFmtId="0" fontId="11" fillId="0" borderId="15" xfId="0" applyFont="1" applyBorder="1" applyAlignment="1">
      <alignment horizontal="left" vertical="top" wrapText="1" readingOrder="1"/>
    </xf>
    <xf numFmtId="0" fontId="4" fillId="0" borderId="0" xfId="0" applyFont="1" applyBorder="1" applyAlignment="1">
      <alignment horizontal="left" vertical="top" readingOrder="1"/>
    </xf>
    <xf numFmtId="166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7" fillId="0" borderId="0" xfId="0" applyFont="1" applyBorder="1"/>
    <xf numFmtId="0" fontId="4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/>
    </xf>
    <xf numFmtId="167" fontId="7" fillId="0" borderId="0" xfId="0" applyNumberFormat="1" applyFont="1" applyBorder="1"/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readingOrder="1"/>
    </xf>
    <xf numFmtId="0" fontId="11" fillId="0" borderId="1" xfId="2" applyFont="1" applyBorder="1" applyAlignment="1">
      <alignment horizontal="left" vertical="top" readingOrder="1"/>
    </xf>
    <xf numFmtId="0" fontId="4" fillId="4" borderId="1" xfId="0" applyFont="1" applyFill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168" fontId="4" fillId="0" borderId="6" xfId="0" applyNumberFormat="1" applyFont="1" applyBorder="1" applyAlignment="1">
      <alignment horizontal="center" vertical="top"/>
    </xf>
    <xf numFmtId="168" fontId="4" fillId="0" borderId="0" xfId="0" applyNumberFormat="1" applyFont="1" applyBorder="1" applyAlignment="1">
      <alignment horizontal="center" vertical="top"/>
    </xf>
    <xf numFmtId="165" fontId="4" fillId="0" borderId="0" xfId="0" applyNumberFormat="1" applyFont="1" applyBorder="1" applyAlignment="1">
      <alignment horizontal="center" vertical="top"/>
    </xf>
    <xf numFmtId="165" fontId="7" fillId="0" borderId="0" xfId="0" applyNumberFormat="1" applyFont="1" applyBorder="1"/>
    <xf numFmtId="169" fontId="11" fillId="0" borderId="0" xfId="1" applyNumberFormat="1" applyFont="1" applyFill="1" applyBorder="1" applyAlignment="1">
      <alignment vertical="top" readingOrder="1"/>
    </xf>
    <xf numFmtId="165" fontId="4" fillId="0" borderId="2" xfId="0" applyNumberFormat="1" applyFont="1" applyBorder="1" applyAlignment="1">
      <alignment horizontal="center" vertical="top"/>
    </xf>
    <xf numFmtId="0" fontId="4" fillId="13" borderId="1" xfId="0" applyFont="1" applyFill="1" applyBorder="1" applyAlignment="1">
      <alignment horizontal="left" vertical="top"/>
    </xf>
    <xf numFmtId="0" fontId="4" fillId="13" borderId="0" xfId="0" applyFont="1" applyFill="1" applyAlignment="1">
      <alignment horizontal="left" vertical="top"/>
    </xf>
    <xf numFmtId="167" fontId="7" fillId="13" borderId="0" xfId="0" applyNumberFormat="1" applyFont="1" applyFill="1"/>
    <xf numFmtId="0" fontId="4" fillId="6" borderId="1" xfId="0" applyFont="1" applyFill="1" applyBorder="1" applyAlignment="1">
      <alignment vertical="top"/>
    </xf>
    <xf numFmtId="0" fontId="4" fillId="13" borderId="1" xfId="0" applyFont="1" applyFill="1" applyBorder="1" applyAlignment="1">
      <alignment vertical="top"/>
    </xf>
    <xf numFmtId="0" fontId="23" fillId="6" borderId="1" xfId="0" applyFont="1" applyFill="1" applyBorder="1" applyAlignment="1">
      <alignment vertical="top"/>
    </xf>
    <xf numFmtId="0" fontId="21" fillId="0" borderId="0" xfId="4"/>
    <xf numFmtId="0" fontId="4" fillId="13" borderId="1" xfId="0" applyFont="1" applyFill="1" applyBorder="1" applyAlignment="1">
      <alignment horizontal="left" vertical="top" readingOrder="1"/>
    </xf>
    <xf numFmtId="0" fontId="5" fillId="13" borderId="1" xfId="0" applyFont="1" applyFill="1" applyBorder="1" applyAlignment="1">
      <alignment vertical="top"/>
    </xf>
    <xf numFmtId="0" fontId="4" fillId="13" borderId="2" xfId="0" applyFont="1" applyFill="1" applyBorder="1" applyAlignment="1">
      <alignment horizontal="left" vertical="top"/>
    </xf>
    <xf numFmtId="0" fontId="4" fillId="13" borderId="0" xfId="0" applyFont="1" applyFill="1" applyBorder="1" applyAlignment="1">
      <alignment horizontal="left" vertical="top"/>
    </xf>
    <xf numFmtId="0" fontId="11" fillId="13" borderId="1" xfId="0" applyFont="1" applyFill="1" applyBorder="1" applyAlignment="1">
      <alignment vertical="top" readingOrder="1"/>
    </xf>
    <xf numFmtId="164" fontId="6" fillId="13" borderId="1" xfId="0" applyNumberFormat="1" applyFont="1" applyFill="1" applyBorder="1" applyAlignment="1">
      <alignment horizontal="center" vertical="top"/>
    </xf>
    <xf numFmtId="0" fontId="7" fillId="13" borderId="0" xfId="0" applyFont="1" applyFill="1"/>
    <xf numFmtId="169" fontId="11" fillId="13" borderId="1" xfId="1" applyNumberFormat="1" applyFont="1" applyFill="1" applyBorder="1" applyAlignment="1">
      <alignment vertical="top" readingOrder="1"/>
    </xf>
    <xf numFmtId="0" fontId="0" fillId="13" borderId="0" xfId="0" applyFill="1"/>
    <xf numFmtId="165" fontId="4" fillId="13" borderId="0" xfId="0" applyNumberFormat="1" applyFont="1" applyFill="1" applyAlignment="1">
      <alignment horizontal="center" vertical="top"/>
    </xf>
    <xf numFmtId="166" fontId="4" fillId="13" borderId="1" xfId="0" applyNumberFormat="1" applyFont="1" applyFill="1" applyBorder="1" applyAlignment="1">
      <alignment horizontal="center" vertical="top"/>
    </xf>
    <xf numFmtId="0" fontId="4" fillId="13" borderId="1" xfId="0" applyFont="1" applyFill="1" applyBorder="1" applyAlignment="1">
      <alignment horizontal="center" vertical="top"/>
    </xf>
    <xf numFmtId="168" fontId="4" fillId="13" borderId="1" xfId="0" applyNumberFormat="1" applyFont="1" applyFill="1" applyBorder="1" applyAlignment="1">
      <alignment horizontal="center" vertical="top"/>
    </xf>
    <xf numFmtId="0" fontId="24" fillId="0" borderId="0" xfId="0" applyFont="1"/>
    <xf numFmtId="43" fontId="0" fillId="0" borderId="0" xfId="1" applyFont="1" applyAlignment="1">
      <alignment horizontal="left"/>
    </xf>
    <xf numFmtId="165" fontId="11" fillId="13" borderId="0" xfId="0" applyNumberFormat="1" applyFont="1" applyFill="1" applyAlignment="1">
      <alignment horizontal="left" vertical="top" readingOrder="1"/>
    </xf>
    <xf numFmtId="14" fontId="0" fillId="13" borderId="1" xfId="0" applyNumberFormat="1" applyFill="1" applyBorder="1"/>
    <xf numFmtId="43" fontId="0" fillId="13" borderId="0" xfId="1" applyFont="1" applyFill="1"/>
    <xf numFmtId="43" fontId="0" fillId="13" borderId="0" xfId="0" applyNumberFormat="1" applyFill="1"/>
    <xf numFmtId="0" fontId="5" fillId="6" borderId="1" xfId="0" applyFont="1" applyFill="1" applyBorder="1" applyAlignment="1">
      <alignment vertical="top"/>
    </xf>
    <xf numFmtId="165" fontId="7" fillId="6" borderId="0" xfId="0" applyNumberFormat="1" applyFont="1" applyFill="1"/>
    <xf numFmtId="168" fontId="4" fillId="6" borderId="1" xfId="0" applyNumberFormat="1" applyFont="1" applyFill="1" applyBorder="1" applyAlignment="1">
      <alignment horizontal="center" vertical="top"/>
    </xf>
    <xf numFmtId="167" fontId="7" fillId="6" borderId="0" xfId="0" applyNumberFormat="1" applyFont="1" applyFill="1"/>
    <xf numFmtId="0" fontId="7" fillId="6" borderId="0" xfId="0" applyFont="1" applyFill="1"/>
    <xf numFmtId="4" fontId="0" fillId="13" borderId="0" xfId="0" applyNumberFormat="1" applyFill="1"/>
    <xf numFmtId="165" fontId="7" fillId="13" borderId="0" xfId="0" applyNumberFormat="1" applyFont="1" applyFill="1"/>
    <xf numFmtId="0" fontId="5" fillId="14" borderId="1" xfId="0" applyFont="1" applyFill="1" applyBorder="1" applyAlignment="1">
      <alignment vertical="top"/>
    </xf>
    <xf numFmtId="0" fontId="0" fillId="4" borderId="0" xfId="0" applyFill="1"/>
    <xf numFmtId="0" fontId="11" fillId="13" borderId="1" xfId="2" applyFont="1" applyFill="1" applyBorder="1" applyAlignment="1">
      <alignment vertical="top" readingOrder="1"/>
    </xf>
    <xf numFmtId="4" fontId="7" fillId="13" borderId="0" xfId="0" applyNumberFormat="1" applyFont="1" applyFill="1"/>
    <xf numFmtId="4" fontId="7" fillId="6" borderId="0" xfId="0" applyNumberFormat="1" applyFont="1" applyFill="1"/>
    <xf numFmtId="43" fontId="4" fillId="13" borderId="0" xfId="1" applyFont="1" applyFill="1" applyBorder="1" applyAlignment="1">
      <alignment horizontal="center" vertical="top" readingOrder="1"/>
    </xf>
    <xf numFmtId="167" fontId="7" fillId="13" borderId="0" xfId="0" applyNumberFormat="1" applyFont="1" applyFill="1" applyBorder="1"/>
    <xf numFmtId="0" fontId="4" fillId="6" borderId="16" xfId="0" applyFont="1" applyFill="1" applyBorder="1" applyAlignment="1">
      <alignment vertical="top"/>
    </xf>
    <xf numFmtId="167" fontId="7" fillId="6" borderId="0" xfId="0" applyNumberFormat="1" applyFont="1" applyFill="1" applyBorder="1"/>
    <xf numFmtId="0" fontId="4" fillId="0" borderId="6" xfId="0" applyFont="1" applyBorder="1" applyAlignment="1">
      <alignment horizontal="left" vertical="top"/>
    </xf>
    <xf numFmtId="0" fontId="11" fillId="0" borderId="0" xfId="0" applyFont="1" applyBorder="1" applyAlignment="1">
      <alignment vertical="top" wrapText="1" readingOrder="1"/>
    </xf>
    <xf numFmtId="0" fontId="7" fillId="15" borderId="0" xfId="0" applyFont="1" applyFill="1"/>
    <xf numFmtId="0" fontId="4" fillId="13" borderId="0" xfId="0" applyFont="1" applyFill="1" applyAlignment="1">
      <alignment vertical="top"/>
    </xf>
    <xf numFmtId="0" fontId="4" fillId="13" borderId="0" xfId="0" applyFont="1" applyFill="1" applyAlignment="1">
      <alignment horizontal="left" vertical="top" readingOrder="1"/>
    </xf>
    <xf numFmtId="0" fontId="7" fillId="6" borderId="1" xfId="0" applyFont="1" applyFill="1" applyBorder="1"/>
    <xf numFmtId="0" fontId="7" fillId="13" borderId="1" xfId="0" applyFont="1" applyFill="1" applyBorder="1"/>
    <xf numFmtId="167" fontId="4" fillId="13" borderId="3" xfId="0" applyNumberFormat="1" applyFont="1" applyFill="1" applyBorder="1" applyAlignment="1">
      <alignment vertical="top"/>
    </xf>
    <xf numFmtId="0" fontId="7" fillId="13" borderId="3" xfId="0" applyFont="1" applyFill="1" applyBorder="1" applyAlignment="1">
      <alignment vertical="top"/>
    </xf>
    <xf numFmtId="166" fontId="4" fillId="0" borderId="1" xfId="0" applyNumberFormat="1" applyFont="1" applyBorder="1" applyAlignment="1">
      <alignment horizontal="left" vertical="top"/>
    </xf>
    <xf numFmtId="166" fontId="4" fillId="0" borderId="2" xfId="0" applyNumberFormat="1" applyFont="1" applyBorder="1" applyAlignment="1">
      <alignment horizontal="left" vertical="top" readingOrder="1"/>
    </xf>
    <xf numFmtId="0" fontId="2" fillId="2" borderId="5" xfId="0" applyFont="1" applyFill="1" applyBorder="1" applyAlignment="1">
      <alignment horizontal="center" vertical="top"/>
    </xf>
    <xf numFmtId="0" fontId="11" fillId="0" borderId="0" xfId="0" applyFont="1" applyBorder="1" applyAlignment="1">
      <alignment horizontal="left" vertical="top" wrapText="1" readingOrder="1"/>
    </xf>
    <xf numFmtId="0" fontId="0" fillId="13" borderId="0" xfId="0" applyFill="1" applyAlignment="1">
      <alignment horizontal="left"/>
    </xf>
    <xf numFmtId="166" fontId="4" fillId="6" borderId="1" xfId="0" applyNumberFormat="1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left" vertical="top"/>
    </xf>
    <xf numFmtId="0" fontId="15" fillId="0" borderId="0" xfId="0" applyFont="1"/>
    <xf numFmtId="0" fontId="15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0" fontId="30" fillId="16" borderId="1" xfId="0" applyFont="1" applyFill="1" applyBorder="1" applyAlignment="1">
      <alignment horizontal="left" vertical="top"/>
    </xf>
    <xf numFmtId="0" fontId="30" fillId="17" borderId="0" xfId="0" applyFont="1" applyFill="1" applyAlignment="1">
      <alignment horizontal="left"/>
    </xf>
    <xf numFmtId="0" fontId="30" fillId="16" borderId="0" xfId="0" applyFont="1" applyFill="1" applyBorder="1" applyAlignment="1">
      <alignment horizontal="left" vertical="top"/>
    </xf>
    <xf numFmtId="0" fontId="30" fillId="16" borderId="2" xfId="0" applyFont="1" applyFill="1" applyBorder="1" applyAlignment="1">
      <alignment horizontal="left" vertical="top"/>
    </xf>
    <xf numFmtId="0" fontId="30" fillId="17" borderId="0" xfId="0" applyFont="1" applyFill="1" applyBorder="1" applyAlignment="1">
      <alignment horizontal="left"/>
    </xf>
    <xf numFmtId="0" fontId="7" fillId="0" borderId="0" xfId="0" applyFont="1" applyBorder="1" applyAlignment="1">
      <alignment wrapText="1"/>
    </xf>
    <xf numFmtId="0" fontId="31" fillId="13" borderId="0" xfId="4" applyFont="1" applyFill="1"/>
    <xf numFmtId="167" fontId="7" fillId="0" borderId="0" xfId="0" applyNumberFormat="1" applyFont="1" applyFill="1" applyBorder="1" applyAlignment="1">
      <alignment horizontal="left"/>
    </xf>
    <xf numFmtId="167" fontId="7" fillId="0" borderId="6" xfId="0" applyNumberFormat="1" applyFont="1" applyBorder="1" applyAlignment="1">
      <alignment horizontal="left" vertical="top"/>
    </xf>
    <xf numFmtId="165" fontId="4" fillId="0" borderId="1" xfId="0" applyNumberFormat="1" applyFont="1" applyBorder="1" applyAlignment="1">
      <alignment horizontal="left" vertical="top"/>
    </xf>
    <xf numFmtId="168" fontId="4" fillId="0" borderId="1" xfId="0" applyNumberFormat="1" applyFont="1" applyBorder="1" applyAlignment="1">
      <alignment horizontal="left" vertical="top"/>
    </xf>
    <xf numFmtId="167" fontId="4" fillId="0" borderId="1" xfId="0" applyNumberFormat="1" applyFont="1" applyBorder="1" applyAlignment="1">
      <alignment horizontal="left" vertical="top"/>
    </xf>
    <xf numFmtId="167" fontId="4" fillId="0" borderId="3" xfId="0" applyNumberFormat="1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Fill="1" applyBorder="1" applyAlignment="1">
      <alignment vertical="top"/>
    </xf>
    <xf numFmtId="8" fontId="0" fillId="0" borderId="0" xfId="0" applyNumberFormat="1"/>
    <xf numFmtId="43" fontId="0" fillId="0" borderId="0" xfId="1" applyFont="1" applyFill="1" applyBorder="1" applyAlignment="1">
      <alignment horizontal="left"/>
    </xf>
    <xf numFmtId="167" fontId="7" fillId="0" borderId="0" xfId="0" applyNumberFormat="1" applyFont="1" applyAlignment="1">
      <alignment horizontal="left"/>
    </xf>
    <xf numFmtId="0" fontId="21" fillId="0" borderId="0" xfId="4" applyFill="1"/>
    <xf numFmtId="4" fontId="30" fillId="18" borderId="0" xfId="0" applyNumberFormat="1" applyFont="1" applyFill="1" applyAlignment="1">
      <alignment horizontal="left"/>
    </xf>
    <xf numFmtId="4" fontId="7" fillId="0" borderId="0" xfId="0" applyNumberFormat="1" applyFont="1"/>
    <xf numFmtId="4" fontId="30" fillId="17" borderId="0" xfId="0" applyNumberFormat="1" applyFont="1" applyFill="1" applyAlignment="1">
      <alignment horizontal="left"/>
    </xf>
    <xf numFmtId="4" fontId="0" fillId="0" borderId="0" xfId="1" applyNumberFormat="1" applyFont="1"/>
    <xf numFmtId="0" fontId="21" fillId="0" borderId="0" xfId="4" applyAlignment="1">
      <alignment horizontal="left"/>
    </xf>
    <xf numFmtId="0" fontId="21" fillId="13" borderId="0" xfId="4" applyFill="1"/>
    <xf numFmtId="3" fontId="0" fillId="0" borderId="0" xfId="1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/>
    <xf numFmtId="43" fontId="4" fillId="0" borderId="0" xfId="1" applyFont="1" applyFill="1" applyBorder="1" applyAlignment="1">
      <alignment vertical="center"/>
    </xf>
    <xf numFmtId="4" fontId="0" fillId="0" borderId="0" xfId="0" applyNumberFormat="1" applyAlignment="1"/>
    <xf numFmtId="0" fontId="5" fillId="3" borderId="1" xfId="0" applyFont="1" applyFill="1" applyBorder="1" applyAlignment="1">
      <alignment vertical="top"/>
    </xf>
    <xf numFmtId="0" fontId="10" fillId="3" borderId="1" xfId="0" applyFont="1" applyFill="1" applyBorder="1" applyAlignment="1">
      <alignment horizontal="left" vertical="top" readingOrder="1"/>
    </xf>
    <xf numFmtId="0" fontId="11" fillId="3" borderId="1" xfId="0" applyFont="1" applyFill="1" applyBorder="1" applyAlignment="1">
      <alignment vertical="top" wrapText="1" readingOrder="1"/>
    </xf>
    <xf numFmtId="0" fontId="0" fillId="3" borderId="0" xfId="0" applyFill="1"/>
    <xf numFmtId="0" fontId="32" fillId="3" borderId="1" xfId="0" applyFont="1" applyFill="1" applyBorder="1" applyAlignment="1">
      <alignment vertical="top" wrapText="1" readingOrder="1"/>
    </xf>
    <xf numFmtId="0" fontId="26" fillId="3" borderId="1" xfId="0" applyFont="1" applyFill="1" applyBorder="1" applyAlignment="1">
      <alignment vertical="top" readingOrder="1"/>
    </xf>
    <xf numFmtId="0" fontId="5" fillId="3" borderId="0" xfId="0" applyFont="1" applyFill="1" applyBorder="1" applyAlignment="1">
      <alignment vertical="top"/>
    </xf>
    <xf numFmtId="0" fontId="9" fillId="3" borderId="1" xfId="0" applyFont="1" applyFill="1" applyBorder="1" applyAlignment="1">
      <alignment horizontal="left" vertical="top" readingOrder="1"/>
    </xf>
    <xf numFmtId="0" fontId="11" fillId="0" borderId="2" xfId="2" applyFont="1" applyFill="1" applyBorder="1" applyAlignment="1">
      <alignment vertical="top" readingOrder="1"/>
    </xf>
    <xf numFmtId="0" fontId="5" fillId="5" borderId="1" xfId="0" applyFont="1" applyFill="1" applyBorder="1" applyAlignment="1">
      <alignment vertical="top"/>
    </xf>
    <xf numFmtId="0" fontId="18" fillId="3" borderId="1" xfId="0" applyFont="1" applyFill="1" applyBorder="1" applyAlignment="1">
      <alignment vertical="top" readingOrder="1"/>
    </xf>
    <xf numFmtId="0" fontId="11" fillId="3" borderId="4" xfId="3" applyFont="1" applyFill="1" applyBorder="1" applyAlignment="1">
      <alignment vertical="top" readingOrder="1"/>
    </xf>
    <xf numFmtId="0" fontId="33" fillId="0" borderId="1" xfId="0" applyFont="1" applyBorder="1" applyAlignment="1">
      <alignment vertical="top" wrapText="1" readingOrder="1"/>
    </xf>
    <xf numFmtId="0" fontId="4" fillId="4" borderId="0" xfId="0" applyFont="1" applyFill="1" applyBorder="1" applyAlignment="1">
      <alignment horizontal="left" vertical="top"/>
    </xf>
    <xf numFmtId="0" fontId="21" fillId="3" borderId="0" xfId="4" applyFill="1"/>
    <xf numFmtId="0" fontId="4" fillId="8" borderId="0" xfId="0" applyFont="1" applyFill="1" applyBorder="1" applyAlignment="1">
      <alignment vertical="top"/>
    </xf>
    <xf numFmtId="0" fontId="0" fillId="0" borderId="1" xfId="0" applyBorder="1"/>
    <xf numFmtId="0" fontId="5" fillId="6" borderId="0" xfId="0" applyFont="1" applyFill="1" applyBorder="1" applyAlignment="1">
      <alignment vertical="top"/>
    </xf>
    <xf numFmtId="0" fontId="9" fillId="4" borderId="1" xfId="0" applyFont="1" applyFill="1" applyBorder="1" applyAlignment="1">
      <alignment horizontal="left" vertical="top" readingOrder="1"/>
    </xf>
    <xf numFmtId="0" fontId="21" fillId="0" borderId="1" xfId="4" applyBorder="1"/>
    <xf numFmtId="0" fontId="0" fillId="4" borderId="1" xfId="0" applyFill="1" applyBorder="1"/>
    <xf numFmtId="0" fontId="11" fillId="0" borderId="1" xfId="3" applyFont="1" applyBorder="1" applyAlignment="1">
      <alignment vertical="top" readingOrder="1"/>
    </xf>
    <xf numFmtId="0" fontId="5" fillId="13" borderId="4" xfId="0" applyFont="1" applyFill="1" applyBorder="1" applyAlignment="1">
      <alignment vertical="top"/>
    </xf>
    <xf numFmtId="165" fontId="7" fillId="13" borderId="1" xfId="0" applyNumberFormat="1" applyFont="1" applyFill="1" applyBorder="1"/>
    <xf numFmtId="165" fontId="7" fillId="13" borderId="5" xfId="0" applyNumberFormat="1" applyFont="1" applyFill="1" applyBorder="1"/>
    <xf numFmtId="168" fontId="4" fillId="13" borderId="0" xfId="0" applyNumberFormat="1" applyFont="1" applyFill="1" applyBorder="1" applyAlignment="1">
      <alignment horizontal="center" vertical="top"/>
    </xf>
    <xf numFmtId="168" fontId="4" fillId="6" borderId="0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left"/>
    </xf>
    <xf numFmtId="164" fontId="6" fillId="0" borderId="0" xfId="0" applyNumberFormat="1" applyFont="1" applyBorder="1" applyAlignment="1">
      <alignment horizontal="center" vertical="top"/>
    </xf>
    <xf numFmtId="168" fontId="4" fillId="0" borderId="0" xfId="0" applyNumberFormat="1" applyFont="1" applyBorder="1" applyAlignment="1">
      <alignment horizontal="center" vertical="top" readingOrder="1"/>
    </xf>
    <xf numFmtId="0" fontId="4" fillId="13" borderId="0" xfId="0" applyFont="1" applyFill="1" applyBorder="1" applyAlignment="1">
      <alignment vertical="top"/>
    </xf>
    <xf numFmtId="0" fontId="4" fillId="6" borderId="0" xfId="0" applyFont="1" applyFill="1" applyBorder="1" applyAlignment="1">
      <alignment vertical="top"/>
    </xf>
    <xf numFmtId="0" fontId="1" fillId="0" borderId="1" xfId="0" applyFont="1" applyBorder="1"/>
    <xf numFmtId="0" fontId="7" fillId="0" borderId="1" xfId="0" applyFont="1" applyBorder="1" applyAlignment="1">
      <alignment horizontal="left"/>
    </xf>
    <xf numFmtId="0" fontId="11" fillId="13" borderId="1" xfId="0" applyFont="1" applyFill="1" applyBorder="1" applyAlignment="1">
      <alignment horizontal="left" vertical="top" readingOrder="1"/>
    </xf>
    <xf numFmtId="166" fontId="4" fillId="0" borderId="1" xfId="0" applyNumberFormat="1" applyFont="1" applyBorder="1" applyAlignment="1">
      <alignment horizontal="left" vertical="top" readingOrder="1"/>
    </xf>
    <xf numFmtId="0" fontId="11" fillId="0" borderId="0" xfId="2" applyFont="1" applyBorder="1" applyAlignment="1">
      <alignment vertical="top" wrapText="1" readingOrder="1"/>
    </xf>
    <xf numFmtId="0" fontId="9" fillId="0" borderId="0" xfId="0" applyFont="1" applyBorder="1" applyAlignment="1">
      <alignment horizontal="left" vertical="top" readingOrder="1"/>
    </xf>
    <xf numFmtId="165" fontId="7" fillId="13" borderId="0" xfId="0" applyNumberFormat="1" applyFont="1" applyFill="1" applyBorder="1"/>
    <xf numFmtId="14" fontId="0" fillId="0" borderId="0" xfId="0" applyNumberFormat="1" applyBorder="1"/>
    <xf numFmtId="0" fontId="0" fillId="0" borderId="0" xfId="0" applyBorder="1" applyAlignment="1">
      <alignment horizontal="left"/>
    </xf>
    <xf numFmtId="169" fontId="11" fillId="0" borderId="0" xfId="1" applyNumberFormat="1" applyFont="1" applyBorder="1" applyAlignment="1">
      <alignment vertical="top" readingOrder="1"/>
    </xf>
    <xf numFmtId="0" fontId="0" fillId="13" borderId="1" xfId="0" applyFill="1" applyBorder="1" applyAlignment="1">
      <alignment horizontal="left"/>
    </xf>
    <xf numFmtId="0" fontId="7" fillId="0" borderId="1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13" borderId="0" xfId="0" applyFont="1" applyFill="1" applyBorder="1"/>
    <xf numFmtId="169" fontId="11" fillId="0" borderId="2" xfId="1" applyNumberFormat="1" applyFont="1" applyBorder="1" applyAlignment="1">
      <alignment vertical="top" readingOrder="1"/>
    </xf>
    <xf numFmtId="167" fontId="7" fillId="0" borderId="6" xfId="0" applyNumberFormat="1" applyFont="1" applyBorder="1"/>
    <xf numFmtId="167" fontId="7" fillId="0" borderId="0" xfId="0" applyNumberFormat="1" applyFont="1" applyBorder="1" applyAlignment="1">
      <alignment vertical="top"/>
    </xf>
    <xf numFmtId="167" fontId="4" fillId="0" borderId="0" xfId="0" applyNumberFormat="1" applyFont="1" applyBorder="1" applyAlignment="1">
      <alignment vertical="top"/>
    </xf>
    <xf numFmtId="167" fontId="7" fillId="0" borderId="1" xfId="0" applyNumberFormat="1" applyFont="1" applyBorder="1"/>
    <xf numFmtId="43" fontId="0" fillId="0" borderId="6" xfId="1" applyFont="1" applyBorder="1"/>
    <xf numFmtId="0" fontId="0" fillId="0" borderId="6" xfId="0" applyBorder="1"/>
    <xf numFmtId="43" fontId="0" fillId="0" borderId="1" xfId="1" applyFont="1" applyBorder="1"/>
    <xf numFmtId="43" fontId="0" fillId="0" borderId="1" xfId="0" applyNumberFormat="1" applyBorder="1"/>
    <xf numFmtId="43" fontId="0" fillId="0" borderId="3" xfId="1" applyFont="1" applyBorder="1"/>
    <xf numFmtId="167" fontId="4" fillId="5" borderId="0" xfId="0" applyNumberFormat="1" applyFont="1" applyFill="1" applyBorder="1" applyAlignment="1">
      <alignment vertical="top"/>
    </xf>
    <xf numFmtId="0" fontId="0" fillId="0" borderId="3" xfId="0" applyBorder="1"/>
    <xf numFmtId="167" fontId="4" fillId="5" borderId="3" xfId="0" applyNumberFormat="1" applyFont="1" applyFill="1" applyBorder="1" applyAlignment="1">
      <alignment vertical="top"/>
    </xf>
    <xf numFmtId="0" fontId="4" fillId="0" borderId="3" xfId="0" applyFont="1" applyBorder="1" applyAlignment="1">
      <alignment horizontal="left" vertical="top"/>
    </xf>
    <xf numFmtId="0" fontId="0" fillId="0" borderId="3" xfId="0" applyBorder="1" applyAlignment="1">
      <alignment horizontal="left"/>
    </xf>
    <xf numFmtId="0" fontId="7" fillId="0" borderId="0" xfId="0" applyFont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/>
    </xf>
    <xf numFmtId="0" fontId="0" fillId="13" borderId="6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7" fillId="0" borderId="0" xfId="0" applyFont="1" applyBorder="1" applyAlignment="1">
      <alignment vertical="top"/>
    </xf>
    <xf numFmtId="3" fontId="0" fillId="13" borderId="0" xfId="0" applyNumberFormat="1" applyFill="1"/>
    <xf numFmtId="43" fontId="7" fillId="6" borderId="0" xfId="1" applyFont="1" applyFill="1"/>
    <xf numFmtId="0" fontId="25" fillId="3" borderId="0" xfId="0" applyFont="1" applyFill="1" applyBorder="1" applyAlignment="1">
      <alignment vertical="top" wrapText="1" readingOrder="1"/>
    </xf>
    <xf numFmtId="166" fontId="4" fillId="13" borderId="0" xfId="0" applyNumberFormat="1" applyFont="1" applyFill="1" applyBorder="1" applyAlignment="1">
      <alignment horizontal="left" vertical="top"/>
    </xf>
    <xf numFmtId="0" fontId="4" fillId="0" borderId="15" xfId="0" applyFont="1" applyBorder="1" applyAlignment="1">
      <alignment vertical="top"/>
    </xf>
    <xf numFmtId="0" fontId="11" fillId="0" borderId="1" xfId="2" applyFont="1" applyBorder="1" applyAlignment="1">
      <alignment horizontal="left" vertical="top" wrapText="1" readingOrder="1"/>
    </xf>
    <xf numFmtId="166" fontId="4" fillId="6" borderId="0" xfId="0" applyNumberFormat="1" applyFont="1" applyFill="1" applyBorder="1" applyAlignment="1">
      <alignment horizontal="left" vertical="top"/>
    </xf>
    <xf numFmtId="0" fontId="4" fillId="6" borderId="0" xfId="0" applyFont="1" applyFill="1" applyBorder="1" applyAlignment="1">
      <alignment horizontal="left" vertical="top"/>
    </xf>
    <xf numFmtId="166" fontId="4" fillId="13" borderId="1" xfId="0" applyNumberFormat="1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wrapText="1" readingOrder="1"/>
    </xf>
    <xf numFmtId="0" fontId="1" fillId="0" borderId="1" xfId="0" applyFont="1" applyBorder="1" applyAlignment="1">
      <alignment horizontal="left"/>
    </xf>
    <xf numFmtId="166" fontId="4" fillId="13" borderId="1" xfId="0" applyNumberFormat="1" applyFont="1" applyFill="1" applyBorder="1" applyAlignment="1">
      <alignment horizontal="left" vertical="top" readingOrder="1"/>
    </xf>
    <xf numFmtId="166" fontId="4" fillId="6" borderId="15" xfId="0" applyNumberFormat="1" applyFont="1" applyFill="1" applyBorder="1" applyAlignment="1">
      <alignment horizontal="left" vertical="top"/>
    </xf>
    <xf numFmtId="0" fontId="4" fillId="6" borderId="15" xfId="0" applyFont="1" applyFill="1" applyBorder="1" applyAlignment="1">
      <alignment horizontal="left" vertical="top"/>
    </xf>
    <xf numFmtId="166" fontId="4" fillId="13" borderId="14" xfId="0" applyNumberFormat="1" applyFont="1" applyFill="1" applyBorder="1" applyAlignment="1">
      <alignment horizontal="left" vertical="top"/>
    </xf>
    <xf numFmtId="0" fontId="4" fillId="13" borderId="14" xfId="0" applyFont="1" applyFill="1" applyBorder="1" applyAlignment="1">
      <alignment horizontal="left" vertical="top"/>
    </xf>
    <xf numFmtId="166" fontId="4" fillId="0" borderId="0" xfId="0" applyNumberFormat="1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4" fillId="8" borderId="5" xfId="0" applyFont="1" applyFill="1" applyBorder="1" applyAlignment="1">
      <alignment vertical="top"/>
    </xf>
    <xf numFmtId="0" fontId="4" fillId="8" borderId="2" xfId="0" applyFont="1" applyFill="1" applyBorder="1" applyAlignment="1">
      <alignment vertical="top"/>
    </xf>
    <xf numFmtId="0" fontId="34" fillId="13" borderId="1" xfId="2" applyNumberFormat="1" applyFont="1" applyFill="1" applyBorder="1" applyAlignment="1">
      <alignment vertical="top" wrapText="1" readingOrder="1"/>
    </xf>
    <xf numFmtId="0" fontId="36" fillId="13" borderId="1" xfId="0" applyFont="1" applyFill="1" applyBorder="1" applyAlignment="1">
      <alignment vertical="top"/>
    </xf>
    <xf numFmtId="0" fontId="9" fillId="0" borderId="1" xfId="0" applyFont="1" applyBorder="1" applyAlignment="1">
      <alignment vertical="top" wrapText="1" readingOrder="1"/>
    </xf>
    <xf numFmtId="0" fontId="9" fillId="13" borderId="1" xfId="0" applyFont="1" applyFill="1" applyBorder="1" applyAlignment="1">
      <alignment vertical="top" wrapText="1" readingOrder="1"/>
    </xf>
    <xf numFmtId="0" fontId="36" fillId="13" borderId="0" xfId="0" applyFont="1" applyFill="1" applyBorder="1" applyAlignment="1">
      <alignment vertical="top"/>
    </xf>
    <xf numFmtId="0" fontId="19" fillId="2" borderId="1" xfId="0" applyFont="1" applyFill="1" applyBorder="1" applyAlignment="1">
      <alignment vertical="top"/>
    </xf>
    <xf numFmtId="0" fontId="36" fillId="4" borderId="1" xfId="0" applyFont="1" applyFill="1" applyBorder="1" applyAlignment="1">
      <alignment vertical="top"/>
    </xf>
    <xf numFmtId="0" fontId="22" fillId="13" borderId="1" xfId="0" applyFont="1" applyFill="1" applyBorder="1" applyAlignment="1">
      <alignment vertical="top" readingOrder="1"/>
    </xf>
    <xf numFmtId="0" fontId="22" fillId="13" borderId="1" xfId="0" applyFont="1" applyFill="1" applyBorder="1" applyAlignment="1">
      <alignment vertical="top" wrapText="1" readingOrder="1"/>
    </xf>
    <xf numFmtId="0" fontId="34" fillId="13" borderId="1" xfId="0" applyFont="1" applyFill="1" applyBorder="1" applyAlignment="1">
      <alignment horizontal="left" vertical="top" readingOrder="1"/>
    </xf>
    <xf numFmtId="0" fontId="22" fillId="13" borderId="1" xfId="2" applyFont="1" applyFill="1" applyBorder="1" applyAlignment="1">
      <alignment vertical="top" readingOrder="1"/>
    </xf>
    <xf numFmtId="0" fontId="22" fillId="0" borderId="0" xfId="0" applyFont="1" applyBorder="1" applyAlignment="1">
      <alignment vertical="top" wrapText="1" readingOrder="1"/>
    </xf>
    <xf numFmtId="0" fontId="0" fillId="0" borderId="0" xfId="0" applyFont="1"/>
    <xf numFmtId="0" fontId="36" fillId="3" borderId="1" xfId="0" applyFont="1" applyFill="1" applyBorder="1" applyAlignment="1">
      <alignment vertical="top"/>
    </xf>
    <xf numFmtId="0" fontId="22" fillId="3" borderId="1" xfId="2" applyFont="1" applyFill="1" applyBorder="1" applyAlignment="1">
      <alignment vertical="top" wrapText="1" readingOrder="1"/>
    </xf>
    <xf numFmtId="0" fontId="34" fillId="3" borderId="1" xfId="0" applyFont="1" applyFill="1" applyBorder="1" applyAlignment="1">
      <alignment horizontal="left" vertical="top" readingOrder="1"/>
    </xf>
    <xf numFmtId="0" fontId="22" fillId="3" borderId="1" xfId="0" applyFont="1" applyFill="1" applyBorder="1" applyAlignment="1">
      <alignment vertical="top" readingOrder="1"/>
    </xf>
    <xf numFmtId="0" fontId="22" fillId="3" borderId="1" xfId="2" applyFont="1" applyFill="1" applyBorder="1" applyAlignment="1">
      <alignment vertical="top" readingOrder="1"/>
    </xf>
    <xf numFmtId="0" fontId="22" fillId="3" borderId="1" xfId="0" applyFont="1" applyFill="1" applyBorder="1" applyAlignment="1">
      <alignment vertical="top" wrapText="1" readingOrder="1"/>
    </xf>
    <xf numFmtId="0" fontId="36" fillId="3" borderId="1" xfId="0" applyFont="1" applyFill="1" applyBorder="1" applyAlignment="1">
      <alignment horizontal="left" vertical="top"/>
    </xf>
    <xf numFmtId="166" fontId="4" fillId="0" borderId="2" xfId="0" applyNumberFormat="1" applyFont="1" applyBorder="1" applyAlignment="1">
      <alignment horizontal="left" vertical="top"/>
    </xf>
    <xf numFmtId="0" fontId="35" fillId="0" borderId="0" xfId="0" applyFont="1"/>
    <xf numFmtId="0" fontId="31" fillId="0" borderId="0" xfId="4" applyFont="1"/>
    <xf numFmtId="0" fontId="1" fillId="0" borderId="0" xfId="4" applyFont="1"/>
    <xf numFmtId="0" fontId="1" fillId="0" borderId="0" xfId="4" applyFont="1" applyAlignment="1">
      <alignment horizontal="left"/>
    </xf>
    <xf numFmtId="0" fontId="1" fillId="13" borderId="0" xfId="4" applyFont="1" applyFill="1"/>
    <xf numFmtId="0" fontId="36" fillId="3" borderId="4" xfId="0" applyFont="1" applyFill="1" applyBorder="1" applyAlignment="1">
      <alignment vertical="top"/>
    </xf>
    <xf numFmtId="0" fontId="2" fillId="11" borderId="8" xfId="0" applyFont="1" applyFill="1" applyBorder="1" applyAlignment="1">
      <alignment vertical="center"/>
    </xf>
    <xf numFmtId="0" fontId="21" fillId="3" borderId="0" xfId="4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1" fillId="0" borderId="8" xfId="4" applyBorder="1" applyAlignment="1">
      <alignment vertical="center"/>
    </xf>
    <xf numFmtId="0" fontId="21" fillId="4" borderId="0" xfId="4" applyFill="1" applyBorder="1" applyAlignment="1">
      <alignment vertical="center"/>
    </xf>
    <xf numFmtId="0" fontId="21" fillId="0" borderId="11" xfId="4" applyBorder="1" applyAlignment="1">
      <alignment vertical="center"/>
    </xf>
    <xf numFmtId="0" fontId="21" fillId="12" borderId="11" xfId="4" applyFill="1" applyBorder="1" applyAlignment="1">
      <alignment vertical="center"/>
    </xf>
    <xf numFmtId="0" fontId="7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 vertical="top"/>
    </xf>
    <xf numFmtId="49" fontId="11" fillId="0" borderId="0" xfId="1" applyNumberFormat="1" applyFont="1" applyFill="1" applyBorder="1" applyAlignment="1">
      <alignment horizontal="center" vertical="top" readingOrder="1"/>
    </xf>
    <xf numFmtId="49" fontId="4" fillId="0" borderId="0" xfId="0" applyNumberFormat="1" applyFont="1" applyBorder="1" applyAlignment="1">
      <alignment horizontal="center" vertical="top"/>
    </xf>
    <xf numFmtId="0" fontId="0" fillId="0" borderId="0" xfId="0" applyFill="1"/>
    <xf numFmtId="0" fontId="9" fillId="13" borderId="1" xfId="0" applyFont="1" applyFill="1" applyBorder="1" applyAlignment="1">
      <alignment vertical="top" readingOrder="1"/>
    </xf>
    <xf numFmtId="0" fontId="11" fillId="13" borderId="14" xfId="0" applyFont="1" applyFill="1" applyBorder="1" applyAlignment="1">
      <alignment vertical="top" wrapText="1" readingOrder="1"/>
    </xf>
    <xf numFmtId="0" fontId="9" fillId="13" borderId="15" xfId="0" applyFont="1" applyFill="1" applyBorder="1" applyAlignment="1">
      <alignment vertical="top" wrapText="1" readingOrder="1"/>
    </xf>
    <xf numFmtId="165" fontId="7" fillId="0" borderId="0" xfId="0" applyNumberFormat="1" applyFont="1" applyBorder="1" applyAlignment="1">
      <alignment horizontal="center"/>
    </xf>
    <xf numFmtId="169" fontId="11" fillId="0" borderId="2" xfId="1" applyNumberFormat="1" applyFont="1" applyBorder="1" applyAlignment="1">
      <alignment horizontal="center" vertical="top" readingOrder="1"/>
    </xf>
    <xf numFmtId="169" fontId="11" fillId="0" borderId="2" xfId="1" applyNumberFormat="1" applyFont="1" applyFill="1" applyBorder="1" applyAlignment="1">
      <alignment horizontal="center" vertical="top" readingOrder="1"/>
    </xf>
    <xf numFmtId="0" fontId="9" fillId="0" borderId="1" xfId="0" applyFont="1" applyBorder="1" applyAlignment="1">
      <alignment horizontal="left" vertical="top" wrapText="1" readingOrder="1"/>
    </xf>
    <xf numFmtId="0" fontId="34" fillId="0" borderId="1" xfId="0" applyFont="1" applyBorder="1" applyAlignment="1">
      <alignment vertical="top" readingOrder="1"/>
    </xf>
    <xf numFmtId="0" fontId="34" fillId="0" borderId="1" xfId="2" applyFont="1" applyBorder="1" applyAlignment="1">
      <alignment vertical="top" readingOrder="1"/>
    </xf>
    <xf numFmtId="0" fontId="10" fillId="4" borderId="1" xfId="0" applyFont="1" applyFill="1" applyBorder="1" applyAlignment="1">
      <alignment horizontal="left" vertical="top" readingOrder="1"/>
    </xf>
    <xf numFmtId="0" fontId="21" fillId="4" borderId="0" xfId="4" applyFill="1"/>
    <xf numFmtId="0" fontId="9" fillId="13" borderId="1" xfId="0" applyFont="1" applyFill="1" applyBorder="1" applyAlignment="1">
      <alignment horizontal="left" vertical="top" readingOrder="1"/>
    </xf>
    <xf numFmtId="0" fontId="7" fillId="4" borderId="0" xfId="0" applyFont="1" applyFill="1"/>
    <xf numFmtId="0" fontId="7" fillId="0" borderId="0" xfId="0" applyFont="1" applyFill="1" applyBorder="1" applyAlignment="1">
      <alignment horizontal="left"/>
    </xf>
    <xf numFmtId="0" fontId="34" fillId="3" borderId="1" xfId="2" applyNumberFormat="1" applyFont="1" applyFill="1" applyBorder="1" applyAlignment="1">
      <alignment vertical="top" wrapText="1" readingOrder="1"/>
    </xf>
    <xf numFmtId="0" fontId="5" fillId="5" borderId="4" xfId="0" applyFont="1" applyFill="1" applyBorder="1" applyAlignment="1">
      <alignment vertical="top"/>
    </xf>
    <xf numFmtId="0" fontId="36" fillId="19" borderId="1" xfId="0" applyFont="1" applyFill="1" applyBorder="1" applyAlignment="1">
      <alignment vertical="top"/>
    </xf>
    <xf numFmtId="0" fontId="36" fillId="4" borderId="4" xfId="0" applyFont="1" applyFill="1" applyBorder="1" applyAlignment="1">
      <alignment vertical="top"/>
    </xf>
    <xf numFmtId="0" fontId="31" fillId="20" borderId="0" xfId="4" applyFont="1" applyFill="1"/>
    <xf numFmtId="0" fontId="21" fillId="20" borderId="0" xfId="4" applyFill="1"/>
    <xf numFmtId="0" fontId="21" fillId="20" borderId="0" xfId="4" applyFill="1" applyAlignment="1">
      <alignment horizontal="left"/>
    </xf>
    <xf numFmtId="0" fontId="21" fillId="13" borderId="0" xfId="4" applyFill="1" applyAlignment="1">
      <alignment horizontal="left"/>
    </xf>
    <xf numFmtId="0" fontId="36" fillId="20" borderId="1" xfId="0" applyFont="1" applyFill="1" applyBorder="1" applyAlignment="1">
      <alignment vertical="top"/>
    </xf>
    <xf numFmtId="167" fontId="4" fillId="0" borderId="2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3" fontId="0" fillId="0" borderId="0" xfId="0" applyNumberFormat="1"/>
    <xf numFmtId="0" fontId="0" fillId="13" borderId="1" xfId="0" applyFill="1" applyBorder="1"/>
    <xf numFmtId="0" fontId="9" fillId="0" borderId="0" xfId="0" applyFont="1" applyBorder="1" applyAlignment="1">
      <alignment horizontal="left" vertical="top" wrapText="1" readingOrder="1"/>
    </xf>
    <xf numFmtId="0" fontId="4" fillId="0" borderId="0" xfId="0" applyFont="1" applyFill="1" applyBorder="1" applyAlignment="1">
      <alignment vertical="top"/>
    </xf>
    <xf numFmtId="3" fontId="11" fillId="0" borderId="1" xfId="0" applyNumberFormat="1" applyFont="1" applyBorder="1" applyAlignment="1">
      <alignment vertical="top" wrapText="1" readingOrder="1"/>
    </xf>
    <xf numFmtId="0" fontId="4" fillId="0" borderId="1" xfId="0" applyFont="1" applyBorder="1" applyAlignment="1">
      <alignment vertical="top" readingOrder="1"/>
    </xf>
    <xf numFmtId="0" fontId="4" fillId="8" borderId="4" xfId="0" applyFont="1" applyFill="1" applyBorder="1" applyAlignment="1">
      <alignment vertical="top"/>
    </xf>
    <xf numFmtId="0" fontId="0" fillId="0" borderId="0" xfId="0" applyBorder="1"/>
    <xf numFmtId="0" fontId="0" fillId="0" borderId="1" xfId="0" applyFont="1" applyFill="1" applyBorder="1"/>
    <xf numFmtId="0" fontId="0" fillId="0" borderId="2" xfId="0" applyBorder="1"/>
    <xf numFmtId="0" fontId="5" fillId="13" borderId="0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165" fontId="7" fillId="6" borderId="1" xfId="0" applyNumberFormat="1" applyFont="1" applyFill="1" applyBorder="1"/>
    <xf numFmtId="165" fontId="7" fillId="6" borderId="5" xfId="0" applyNumberFormat="1" applyFont="1" applyFill="1" applyBorder="1"/>
    <xf numFmtId="14" fontId="7" fillId="0" borderId="0" xfId="0" applyNumberFormat="1" applyFont="1" applyBorder="1"/>
    <xf numFmtId="0" fontId="4" fillId="13" borderId="16" xfId="0" applyFont="1" applyFill="1" applyBorder="1" applyAlignment="1">
      <alignment vertical="top"/>
    </xf>
    <xf numFmtId="0" fontId="4" fillId="0" borderId="16" xfId="0" applyFont="1" applyBorder="1" applyAlignment="1">
      <alignment vertical="top"/>
    </xf>
    <xf numFmtId="0" fontId="0" fillId="0" borderId="16" xfId="0" applyBorder="1"/>
    <xf numFmtId="165" fontId="4" fillId="0" borderId="0" xfId="0" applyNumberFormat="1" applyFont="1" applyBorder="1" applyAlignment="1">
      <alignment horizontal="left" vertical="top"/>
    </xf>
    <xf numFmtId="0" fontId="4" fillId="0" borderId="1" xfId="0" applyFont="1" applyFill="1" applyBorder="1" applyAlignment="1">
      <alignment vertical="top"/>
    </xf>
    <xf numFmtId="0" fontId="7" fillId="0" borderId="2" xfId="0" applyFont="1" applyBorder="1"/>
    <xf numFmtId="167" fontId="4" fillId="0" borderId="0" xfId="0" applyNumberFormat="1" applyFont="1" applyBorder="1" applyAlignment="1">
      <alignment horizontal="left" vertical="top"/>
    </xf>
    <xf numFmtId="0" fontId="31" fillId="0" borderId="0" xfId="4" applyFont="1" applyBorder="1" applyAlignment="1">
      <alignment horizontal="left" vertical="top"/>
    </xf>
    <xf numFmtId="0" fontId="21" fillId="0" borderId="1" xfId="4" applyBorder="1" applyAlignment="1">
      <alignment horizontal="left"/>
    </xf>
    <xf numFmtId="0" fontId="4" fillId="3" borderId="3" xfId="0" applyFont="1" applyFill="1" applyBorder="1" applyAlignment="1">
      <alignment horizontal="left" vertical="top"/>
    </xf>
    <xf numFmtId="0" fontId="0" fillId="13" borderId="6" xfId="0" applyFill="1" applyBorder="1"/>
    <xf numFmtId="0" fontId="0" fillId="4" borderId="6" xfId="0" applyFill="1" applyBorder="1"/>
    <xf numFmtId="0" fontId="21" fillId="4" borderId="0" xfId="4" applyFill="1" applyAlignment="1">
      <alignment horizontal="left"/>
    </xf>
    <xf numFmtId="0" fontId="31" fillId="3" borderId="0" xfId="4" applyFont="1" applyFill="1"/>
    <xf numFmtId="0" fontId="0" fillId="21" borderId="0" xfId="0" applyFill="1"/>
    <xf numFmtId="0" fontId="37" fillId="21" borderId="0" xfId="4" applyFont="1" applyFill="1"/>
    <xf numFmtId="0" fontId="31" fillId="21" borderId="0" xfId="4" applyFont="1" applyFill="1"/>
    <xf numFmtId="0" fontId="4" fillId="4" borderId="2" xfId="0" applyFont="1" applyFill="1" applyBorder="1" applyAlignment="1">
      <alignment horizontal="left" vertical="top"/>
    </xf>
    <xf numFmtId="43" fontId="4" fillId="0" borderId="1" xfId="1" applyFont="1" applyBorder="1" applyAlignment="1">
      <alignment vertical="top"/>
    </xf>
    <xf numFmtId="43" fontId="7" fillId="0" borderId="1" xfId="1" applyFont="1" applyBorder="1"/>
    <xf numFmtId="43" fontId="4" fillId="0" borderId="0" xfId="1" applyFont="1" applyBorder="1" applyAlignment="1">
      <alignment vertical="top"/>
    </xf>
    <xf numFmtId="43" fontId="4" fillId="0" borderId="0" xfId="1" applyFont="1" applyBorder="1" applyAlignment="1">
      <alignment horizontal="left" vertical="top"/>
    </xf>
    <xf numFmtId="43" fontId="7" fillId="0" borderId="0" xfId="1" applyFont="1" applyBorder="1"/>
    <xf numFmtId="43" fontId="20" fillId="0" borderId="0" xfId="1" applyFont="1" applyBorder="1" applyAlignment="1">
      <alignment vertical="top"/>
    </xf>
    <xf numFmtId="43" fontId="4" fillId="0" borderId="0" xfId="1" applyFont="1" applyAlignment="1">
      <alignment vertical="top"/>
    </xf>
    <xf numFmtId="43" fontId="7" fillId="0" borderId="0" xfId="1" applyFont="1"/>
    <xf numFmtId="0" fontId="4" fillId="13" borderId="0" xfId="0" applyFont="1" applyFill="1" applyBorder="1" applyAlignment="1">
      <alignment horizontal="left" vertical="top" readingOrder="1"/>
    </xf>
    <xf numFmtId="0" fontId="4" fillId="13" borderId="2" xfId="0" applyFont="1" applyFill="1" applyBorder="1" applyAlignment="1">
      <alignment horizontal="left" vertical="top" readingOrder="1"/>
    </xf>
    <xf numFmtId="0" fontId="10" fillId="0" borderId="0" xfId="0" applyFont="1" applyBorder="1" applyAlignment="1">
      <alignment horizontal="left" vertical="top" readingOrder="1"/>
    </xf>
    <xf numFmtId="0" fontId="21" fillId="0" borderId="0" xfId="4" applyBorder="1"/>
    <xf numFmtId="0" fontId="11" fillId="0" borderId="0" xfId="2" applyFont="1" applyBorder="1" applyAlignment="1">
      <alignment vertical="top" readingOrder="1"/>
    </xf>
    <xf numFmtId="0" fontId="11" fillId="0" borderId="0" xfId="2" applyFont="1" applyBorder="1" applyAlignment="1">
      <alignment horizontal="left" vertical="top" readingOrder="1"/>
    </xf>
  </cellXfs>
  <cellStyles count="5">
    <cellStyle name="Comma" xfId="1" builtinId="3"/>
    <cellStyle name="Hyperlink" xfId="4" builtinId="8"/>
    <cellStyle name="Normal" xfId="0" builtinId="0"/>
    <cellStyle name="Normal 2" xfId="2" xr:uid="{190BBC59-4FCE-4653-A7B8-663A4FA8303C}"/>
    <cellStyle name="Normal 4" xfId="3" xr:uid="{BFB9D873-87DA-4D31-95A6-BB2AB6C1C354}"/>
  </cellStyles>
  <dxfs count="0"/>
  <tableStyles count="0" defaultTableStyle="TableStyleMedium2" defaultPivotStyle="PivotStyleLight16"/>
  <colors>
    <mruColors>
      <color rgb="FFFF25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bcauto.com/vehicle/checklist?crypt=%5E%D2%D0%E5%98%E1%D1%CC%9E%C6%71%A0%9C%95%68%9C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1" Type="http://schemas.openxmlformats.org/officeDocument/2006/relationships/hyperlink" Target="https://www.ibcauto.com/vehicle/checklist?crypt=%5E%D2%D0%E5%98%E1%D1%CC%9E%C6%71%A0%9B%97%67%9D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2" Type="http://schemas.openxmlformats.org/officeDocument/2006/relationships/hyperlink" Target="https://www.ibcauto.com/vehicle/checklist?crypt=%5E%D2%D0%E5%98%E1%D1%CC%9E%C6%71%A0%9C%99%6F%A2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7" Type="http://schemas.openxmlformats.org/officeDocument/2006/relationships/hyperlink" Target="https://www.ibcauto.com/vehicle/checklist?crypt=%5E%D2%D0%E5%98%E1%D1%CC%9E%C6%71%A0%98%93%6D%A1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3" Type="http://schemas.openxmlformats.org/officeDocument/2006/relationships/hyperlink" Target="https://www.ibcauto.com/vehicle/checklist?crypt=%5E%D2%D0%E5%98%E1%D1%CC%9E%C6%71%A0%97%9A%6A%9F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8" Type="http://schemas.openxmlformats.org/officeDocument/2006/relationships/hyperlink" Target="https://www.ibcauto.com/vehicle/checklist?crypt=%5E%D2%D0%E5%98%E1%D1%CC%9E%C6%71%A0%9D%91%6E%A3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4" Type="http://schemas.openxmlformats.org/officeDocument/2006/relationships/hyperlink" Target="https://www.ibcauto.com/vehicle/checklist?crypt=%5E%D2%D0%E5%98%E1%D1%CC%9E%C6%71%A0%9D%99%6A%9D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9" Type="http://schemas.openxmlformats.org/officeDocument/2006/relationships/hyperlink" Target="https://www.ibcauto.com/vehicle/checklist?crypt=%5E%D2%D0%E5%98%E1%D1%CC%9E%C6%71%A0%9C%93%6B%A4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6" Type="http://schemas.openxmlformats.org/officeDocument/2006/relationships/hyperlink" Target="https://www.ibcauto.com/vehicle/checklist?crypt=%5E%D2%D0%E5%98%E1%D1%CC%9E%C6%71%A0%9C%94%6D%9C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" Type="http://schemas.openxmlformats.org/officeDocument/2006/relationships/hyperlink" Target="https://www.ibcauto.com/vehicle/checklist?crypt=%5E%D2%D0%E5%98%E1%D1%CC%9E%C6%71%A0%9B%98%68%9C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2" Type="http://schemas.openxmlformats.org/officeDocument/2006/relationships/hyperlink" Target="https://www.ibcauto.com/vehicle/checklist?crypt=%5E%D2%D0%E5%98%E1%D1%CC%9E%C6%71%A0%9D%9A%6D%A1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7" Type="http://schemas.openxmlformats.org/officeDocument/2006/relationships/hyperlink" Target="https://www.ibcauto.com/vehicle/checklist?crypt=%5E%D2%D0%E5%98%E1%D1%CC%9E%C6%71%A1%94%91%6B%A2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3" Type="http://schemas.openxmlformats.org/officeDocument/2006/relationships/hyperlink" Target="https://www.ibcauto.com/vehicle/checklist?crypt=%5E%D2%D0%E5%98%E1%D1%CC%9E%C6%71%A1%94%92%67%A3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8" Type="http://schemas.openxmlformats.org/officeDocument/2006/relationships/hyperlink" Target="https://www.ibcauto.com/vehicle/checklist?crypt=%5E%D2%D0%E5%98%E1%D1%CC%9E%C6%71%A0%95%93%67%A3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4" Type="http://schemas.openxmlformats.org/officeDocument/2006/relationships/hyperlink" Target="https://www.ibcauto.com/vehicle/checklist?crypt=%5E%D2%D0%E5%98%E1%D1%CC%9E%C6%71%A0%9D%93%67%A2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9" Type="http://schemas.openxmlformats.org/officeDocument/2006/relationships/hyperlink" Target="http://checklist.ibcjapan.net/checklist?crypt=%5E%D2%D0%E5%98%E1%D1%CC%9E%C6%71%A1%94%96%67%9F%6A%99%D7%9C%9C%DA%E2%AA%D7%9F%97%A5%A8%9C%6D%A2%9A%A4%68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02" Type="http://schemas.openxmlformats.org/officeDocument/2006/relationships/hyperlink" Target="http://checklist.ibcjapan.net/checklist?crypt=%5E%D2%D0%E5%98%E1%D1%CC%9E%C6%71%A1%94%97%66%9D%6E%99%D7%9C%9C%DA%E2%AA%D7%9F%97%A5%A8%9C%6E%A0%96%A0%6C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5" Type="http://schemas.openxmlformats.org/officeDocument/2006/relationships/hyperlink" Target="https://www.ibcauto.com/vehicle/checklist?crypt=%5E%D2%D0%E5%98%E1%D1%CC%9E%C6%71%A0%98%91%6A%A4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0" Type="http://schemas.openxmlformats.org/officeDocument/2006/relationships/hyperlink" Target="http://checklist.ibcjapan.net/checklist?crypt=%5E%D2%D0%E5%98%E1%D1%CC%9E%C6%71%A1%94%96%6D%9F%6B%99%D7%9C%9C%DA%E2%AA%D7%9F%97%A5%A8%9C%6D%A2%9A%A4%68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95" Type="http://schemas.openxmlformats.org/officeDocument/2006/relationships/hyperlink" Target="http://checklist.ibcjapan.net/checklist?crypt=%5E%D2%D0%E5%98%E1%D1%CC%9E%C6%71%A1%94%91%6F%9E%70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22" Type="http://schemas.openxmlformats.org/officeDocument/2006/relationships/hyperlink" Target="https://www.ibcauto.com/vehicle/checklist?crypt=%5E%D2%D0%E5%98%E1%D1%CC%9E%C6%71%A1%94%92%6E%9B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7" Type="http://schemas.openxmlformats.org/officeDocument/2006/relationships/hyperlink" Target="https://www.ibcauto.com/vehicle/checklist?crypt=%5E%D2%D0%E5%98%E1%D1%CC%9E%C6%71%A0%9C%94%6B%9B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3" Type="http://schemas.openxmlformats.org/officeDocument/2006/relationships/hyperlink" Target="https://www.ibcauto.com/vehicle/checklist?crypt=%5E%D2%D0%E5%98%E1%D1%CC%9E%C6%71%A0%9C%9A%69%A1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8" Type="http://schemas.openxmlformats.org/officeDocument/2006/relationships/hyperlink" Target="https://www.ibcauto.com/vehicle/checklist?crypt=%5E%D2%D0%E5%98%E1%D1%CC%9E%C6%71%A0%9D%96%67%9B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4" Type="http://schemas.openxmlformats.org/officeDocument/2006/relationships/hyperlink" Target="https://www.ibcauto.com/vehicle/checklist?crypt=%5E%D2%D0%E5%98%E1%D1%CC%9E%C6%71%A0%98%91%6F%A2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9" Type="http://schemas.openxmlformats.org/officeDocument/2006/relationships/hyperlink" Target="https://www.ibcauto.com/vehicle/checklist?crypt=%5E%D2%D0%E5%98%E1%D1%CC%9E%C6%71%A0%9C%9A%6A%9F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0" Type="http://schemas.openxmlformats.org/officeDocument/2006/relationships/hyperlink" Target="http://checklist.ibcjapan.net/checklist?crypt=%5E%D2%D0%E5%98%E1%D1%CC%9E%C6%71%A1%94%95%6A%9B%67%99%D7%9C%9C%DA%E2%AA%D7%9F%97%A5%A8%9C%6C%A4%98%9D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85" Type="http://schemas.openxmlformats.org/officeDocument/2006/relationships/hyperlink" Target="https://www.ibcauto.com/vehicle/checklist?crypt=%5E%D2%D0%E5%98%E1%D1%CC%9E%C6%71%A0%9D%98%6E%A4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2" Type="http://schemas.openxmlformats.org/officeDocument/2006/relationships/hyperlink" Target="https://www.ibcauto.com/vehicle/checklist?crypt=%5E%D2%D0%E5%98%E1%D1%CC%9E%C6%71%A0%9B%98%6C%A4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7" Type="http://schemas.openxmlformats.org/officeDocument/2006/relationships/hyperlink" Target="https://www.ibcauto.com/vehicle/checklist?crypt=%5E%D2%D0%E5%98%E1%D1%CC%9E%C6%71%A0%9C%95%6B%9D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3" Type="http://schemas.openxmlformats.org/officeDocument/2006/relationships/hyperlink" Target="https://www.ibcauto.com/vehicle/checklist?crypt=%5E%D2%D0%E5%98%E1%D1%CC%9E%C6%71%A1%94%93%6B%9F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8" Type="http://schemas.openxmlformats.org/officeDocument/2006/relationships/hyperlink" Target="https://www.ibcauto.com/vehicle/checklist?crypt=%5E%D2%D0%E5%98%E1%D1%CC%9E%C6%71%A0%9D%93%6A%9C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9" Type="http://schemas.openxmlformats.org/officeDocument/2006/relationships/hyperlink" Target="https://www.ibcauto.com/vehicle/checklist?crypt=%5E%D2%D0%E5%98%E1%D1%CC%9E%C6%71%A0%9D%98%68%A0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3" Type="http://schemas.openxmlformats.org/officeDocument/2006/relationships/hyperlink" Target="https://www.ibcauto.com/vehicle/checklist?crypt=%5E%D2%D0%E5%98%E1%D1%CC%9E%C6%71%A0%9D%99%66%A2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0" Type="http://schemas.openxmlformats.org/officeDocument/2006/relationships/hyperlink" Target="https://www.ibcauto.com/vehicle/checklist?crypt=%5E%D2%D0%E5%98%E1%D1%CC%9E%C6%71%A0%99%98%66%9E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1" Type="http://schemas.openxmlformats.org/officeDocument/2006/relationships/hyperlink" Target="https://www.ibcauto.com/vehicle/checklist?crypt=%5E%D2%D0%E5%98%E1%D1%CC%9E%C6%71%A0%98%92%67%9D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4" Type="http://schemas.openxmlformats.org/officeDocument/2006/relationships/hyperlink" Target="https://www.ibcauto.com/vehicle/checklist?crypt=%5E%D2%D0%E5%98%E1%D1%CC%9E%C6%71%A1%94%91%6E%A2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2" Type="http://schemas.openxmlformats.org/officeDocument/2006/relationships/hyperlink" Target="https://www.ibcauto.com/vehicle/checklist?crypt=%5E%D2%D0%E5%98%E1%D1%CC%9E%C6%71%A0%97%92%6D%A0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0" Type="http://schemas.openxmlformats.org/officeDocument/2006/relationships/hyperlink" Target="https://www.ibcauto.com/vehicle/checklist?crypt=%5E%D2%D0%E5%98%E1%D1%CC%9E%C6%71%A0%98%91%6B%A1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5" Type="http://schemas.openxmlformats.org/officeDocument/2006/relationships/hyperlink" Target="http://checklist.ibcjapan.net/checklist?crypt=%5E%D2%D0%E5%98%E1%D1%CC%9E%C6%71%A1%94%95%6D%A4%6F%99%D7%9C%9C%DA%E2%AA%D7%9F%97%A5%A8%9C%6D%A2%9A%A4%68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83" Type="http://schemas.openxmlformats.org/officeDocument/2006/relationships/hyperlink" Target="https://www.ibcauto.com/vehicle/checklist?crypt=%5E%D2%D0%E5%98%E1%D1%CC%9E%C6%71%A0%9B%94%6F%A3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8" Type="http://schemas.openxmlformats.org/officeDocument/2006/relationships/hyperlink" Target="https://www.ibcauto.com/vehicle/checklist?crypt=%5E%D2%D0%E5%98%E1%D1%CC%9E%C6%71%A0%97%9A%6D%9D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1" Type="http://schemas.openxmlformats.org/officeDocument/2006/relationships/hyperlink" Target="http://checklist.ibcjapan.net/checklist?crypt=%5E%D2%D0%E5%98%E1%D1%CC%9E%C6%71%A0%98%94%69%9B%6E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96" Type="http://schemas.openxmlformats.org/officeDocument/2006/relationships/hyperlink" Target="http://checklist.ibcjapan.net/checklist?crypt=%5E%D2%D0%E5%98%E1%D1%CC%9E%C6%71%A1%94%97%69%A2%70%99%D7%9C%9C%DA%E2%AA%D7%9F%97%A5%A8%9C%6D%A2%9A%A4%68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" Type="http://schemas.openxmlformats.org/officeDocument/2006/relationships/hyperlink" Target="https://www.ibcauto.com/vehicle/checklist?crypt=%5E%D2%D0%E5%98%E1%D1%CC%9E%C6%71%A0%98%91%6B%A0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" Type="http://schemas.openxmlformats.org/officeDocument/2006/relationships/hyperlink" Target="https://www.ibcauto.com/vehicle/checklist?crypt=%5E%D2%D0%E5%98%E1%D1%CC%9E%C6%71%A0%9A%96%6C%9D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5" Type="http://schemas.openxmlformats.org/officeDocument/2006/relationships/hyperlink" Target="https://www.ibcauto.com/vehicle/checklist?crypt=%5E%D2%D0%E5%98%E1%D1%CC%9E%C6%71%A0%9C%93%6C%9B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3" Type="http://schemas.openxmlformats.org/officeDocument/2006/relationships/hyperlink" Target="https://www.ibcauto.com/vehicle/checklist?crypt=%5E%D2%D0%E5%98%E1%D1%CC%9E%C6%71%A1%94%92%66%A0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8" Type="http://schemas.openxmlformats.org/officeDocument/2006/relationships/hyperlink" Target="https://www.ibcauto.com/vehicle/checklist?crypt=%5E%D2%D0%E5%98%E1%D1%CC%9E%C6%71%A0%9D%94%6D%9E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6" Type="http://schemas.openxmlformats.org/officeDocument/2006/relationships/hyperlink" Target="https://www.ibcauto.com/vehicle/checklist?crypt=%5E%D2%D0%E5%98%E1%D1%CC%9E%C6%71%A0%9D%95%6A%9F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9" Type="http://schemas.openxmlformats.org/officeDocument/2006/relationships/hyperlink" Target="https://www.ibcauto.com/vehicle/checklist?crypt=%5E%D2%D0%E5%98%E1%D1%CC%9E%C6%71%A0%9C%96%69%A4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7" Type="http://schemas.openxmlformats.org/officeDocument/2006/relationships/hyperlink" Target="https://www.ibcauto.com/vehicle/checklist?crypt=%5E%D2%D0%E5%98%E1%D1%CC%9E%C6%71%A1%94%91%6D%9B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https://www.ibcauto.com/vehicle/checklist?crypt=%5E%D2%D0%E5%98%E1%D1%CC%9E%C6%71%A0%9D%91%6B%A4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1" Type="http://schemas.openxmlformats.org/officeDocument/2006/relationships/hyperlink" Target="https://www.ibcauto.com/vehicle/checklist?crypt=%5E%D2%D0%E5%98%E1%D1%CC%9E%C6%71%A0%9B%99%66%9B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4" Type="http://schemas.openxmlformats.org/officeDocument/2006/relationships/hyperlink" Target="https://www.ibcauto.com/vehicle/checklist?crypt=%5E%D2%D0%E5%98%E1%D1%CC%9E%C6%71%A0%9B%98%6C%A4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2" Type="http://schemas.openxmlformats.org/officeDocument/2006/relationships/hyperlink" Target="https://www.ibcauto.com/vehicle/checklist?crypt=%5E%D2%D0%E5%98%E1%D1%CC%9E%C6%71%A1%94%93%6C%A3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0" Type="http://schemas.openxmlformats.org/officeDocument/2006/relationships/hyperlink" Target="https://www.ibcauto.com/vehicle/checklist?crypt=%5E%D2%D0%E5%98%E1%D1%CC%9E%C6%71%A0%95%93%6D%9B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5" Type="http://schemas.openxmlformats.org/officeDocument/2006/relationships/hyperlink" Target="https://www.ibcauto.com/vehicle/checklist?crypt=%5E%D2%D0%E5%98%E1%D1%CC%9E%C6%71%A0%9C%9A%6F%9B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3" Type="http://schemas.openxmlformats.org/officeDocument/2006/relationships/hyperlink" Target="https://www.ibcauto.com/vehicle/checklist?crypt=%5E%D2%D0%E5%98%E1%D1%CC%9E%C6%71%A1%94%92%69%9D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8" Type="http://schemas.openxmlformats.org/officeDocument/2006/relationships/hyperlink" Target="http://checklist.ibcjapan.net/checklist?crypt=%5E%D2%D0%E5%98%E1%D1%CC%9E%C6%71%A1%94%95%6A%9E%6B%99%D7%9C%9C%DA%E2%AA%D7%9F%97%A5%A8%9C%6C%A4%98%9D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81" Type="http://schemas.openxmlformats.org/officeDocument/2006/relationships/hyperlink" Target="http://checklist.ibcjapan.net/checklist?crypt=%5E%D2%D0%E5%98%E1%D1%CC%9E%C6%71%A1%94%92%67%A2%69%99%D7%9C%9C%DA%E2%AA%D7%9F%97%A5%A8%9C%6C%A4%98%9D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86" Type="http://schemas.openxmlformats.org/officeDocument/2006/relationships/hyperlink" Target="https://www.ibcauto.com/vehicle/checklist?crypt=%5E%D2%D0%E5%98%E1%D1%CC%9E%C6%71%A0%9D%98%6E%A4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4" Type="http://schemas.openxmlformats.org/officeDocument/2006/relationships/hyperlink" Target="https://www.ibcauto.com/vehicle/checklist?crypt=%5E%D2%D0%E5%98%E1%D1%CC%9E%C6%71%A0%9B%96%6E%A1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9" Type="http://schemas.openxmlformats.org/officeDocument/2006/relationships/hyperlink" Target="http://checklist.ibcjapan.net/checklist?crypt=%5E%D2%D0%E5%98%E1%D1%CC%9E%C6%71%A0%97%9A%68%A4%6B%99%D7%9C%9C%DA%E2%AA%D7%9F%97%A5%A8%9C%6D%A2%9A%A4%68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01" Type="http://schemas.openxmlformats.org/officeDocument/2006/relationships/hyperlink" Target="http://checklist.ibcjapan.net/checklist?crypt=%5E%D2%D0%E5%98%E1%D1%CC%9E%C6%71%A0%9A%96%6B%9F%6E%99%D7%9C%9C%DA%E2%AA%D7%9F%97%A5%A8%9C%6D%A2%9A%A4%68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4" Type="http://schemas.openxmlformats.org/officeDocument/2006/relationships/hyperlink" Target="https://www.ibcauto.com/vehicle/checklist?crypt=%5E%D2%D0%E5%98%E1%D1%CC%9E%C6%71%A1%94%92%69%9B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" Type="http://schemas.openxmlformats.org/officeDocument/2006/relationships/hyperlink" Target="https://www.ibcauto.com/vehicle/checklist?crypt=%5E%D2%D0%E5%98%E1%D1%CC%9E%C6%71%A0%9B%99%67%A1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3" Type="http://schemas.openxmlformats.org/officeDocument/2006/relationships/hyperlink" Target="https://www.ibcauto.com/vehicle/checklist?crypt=%5E%D2%D0%E5%98%E1%D1%CC%9E%C6%71%A0%98%97%6D%A1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8" Type="http://schemas.openxmlformats.org/officeDocument/2006/relationships/hyperlink" Target="https://www.ibcauto.com/vehicle/checklist?crypt=%5E%D2%D0%E5%98%E1%D1%CC%9E%C6%71%A0%9D%92%6F%A4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9" Type="http://schemas.openxmlformats.org/officeDocument/2006/relationships/hyperlink" Target="https://www.ibcauto.com/vehicle/checklist?crypt=%5E%D2%D0%E5%98%E1%D1%CC%9E%C6%71%A1%94%92%67%A3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4" Type="http://schemas.openxmlformats.org/officeDocument/2006/relationships/hyperlink" Target="https://www.ibcauto.com/vehicle/checklist?crypt=%5E%D2%D0%E5%98%E1%D1%CC%9E%C6%71%A0%9D%9A%6A%A2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0" Type="http://schemas.openxmlformats.org/officeDocument/2006/relationships/hyperlink" Target="https://www.ibcauto.com/vehicle/checklist?crypt=%5E%D2%D0%E5%98%E1%D1%CC%9E%C6%71%A1%94%93%6D%9F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5" Type="http://schemas.openxmlformats.org/officeDocument/2006/relationships/hyperlink" Target="https://www.ibcauto.com/vehicle/checklist?crypt=%5E%D2%D0%E5%98%E1%D1%CC%9E%C6%71%A0%97%9A%6E%9F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6" Type="http://schemas.openxmlformats.org/officeDocument/2006/relationships/hyperlink" Target="http://checklist.ibcjapan.net/checklist?crypt=%5E%D2%D0%E5%98%E1%D1%CC%9E%C6%71%A1%94%92%6B%9E%6D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97" Type="http://schemas.openxmlformats.org/officeDocument/2006/relationships/hyperlink" Target="http://checklist.ibcjapan.net/checklist?crypt=%5E%D2%D0%E5%98%E1%D1%CC%9E%C6%71%A0%9D%99%6B%9C%6A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04" Type="http://schemas.openxmlformats.org/officeDocument/2006/relationships/hyperlink" Target="https://trello.com/c/RXbymUvm" TargetMode="External"/><Relationship Id="rId7" Type="http://schemas.openxmlformats.org/officeDocument/2006/relationships/hyperlink" Target="https://www.ibcauto.com/vehicle/checklist?crypt=%5E%D2%D0%E5%98%E1%D1%CC%9E%C6%71%A0%9A%93%6F%9C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1" Type="http://schemas.openxmlformats.org/officeDocument/2006/relationships/hyperlink" Target="https://www.ibcauto.com/vehicle/checklist?crypt=%5E%D2%D0%E5%98%E1%D1%CC%9E%C6%71%A0%9D%91%6E%A4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2" Type="http://schemas.openxmlformats.org/officeDocument/2006/relationships/hyperlink" Target="http://checklist.ibcjapan.net/checklist?crypt=%5E%D2%D0%E5%98%E1%D1%CC%9E%C6%71%A0%9D%93%67%A1%68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2" Type="http://schemas.openxmlformats.org/officeDocument/2006/relationships/hyperlink" Target="https://www.ibcauto.com/vehicle/checklist?crypt=%5E%D2%D0%E5%98%E1%D1%CC%9E%C6%71%A0%98%92%6F%A3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9" Type="http://schemas.openxmlformats.org/officeDocument/2006/relationships/hyperlink" Target="https://www.ibcauto.com/vehicle/checklist?crypt=%5E%D2%D0%E5%98%E1%D1%CC%9E%C6%71%A1%94%92%6D%A4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4" Type="http://schemas.openxmlformats.org/officeDocument/2006/relationships/hyperlink" Target="https://www.ibcauto.com/vehicle/checklist?crypt=%5E%D2%D0%E5%98%E1%D1%CC%9E%C6%71%A0%9C%98%68%A2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0" Type="http://schemas.openxmlformats.org/officeDocument/2006/relationships/hyperlink" Target="https://www.ibcauto.com/vehicle/checklist?crypt=%5E%D2%D0%E5%98%E1%D1%CC%9E%C6%71%A0%98%92%6B%A2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5" Type="http://schemas.openxmlformats.org/officeDocument/2006/relationships/hyperlink" Target="https://www.ibcauto.com/vehicle/checklist?crypt=%5E%D2%D0%E5%98%E1%D1%CC%9E%C6%71%A0%9D%91%67%A2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6" Type="http://schemas.openxmlformats.org/officeDocument/2006/relationships/hyperlink" Target="https://www.ibcauto.com/vehicle/checklist?crypt=%5E%D2%D0%E5%98%E1%D1%CC%9E%C6%71%A0%98%93%6F%9E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7" Type="http://schemas.openxmlformats.org/officeDocument/2006/relationships/hyperlink" Target="https://www.ibcauto.com/vehicle/checklist?crypt=%5E%D2%D0%E5%98%E1%D1%CC%9E%C6%71%A0%9D%94%6B%A3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1" Type="http://schemas.openxmlformats.org/officeDocument/2006/relationships/hyperlink" Target="https://www.ibcauto.com/vehicle/checklist?crypt=%5E%D2%D0%E5%98%E1%D1%CC%9E%C6%71%A0%97%9A%67%9C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2" Type="http://schemas.openxmlformats.org/officeDocument/2006/relationships/hyperlink" Target="http://checklist.ibcjapan.net/checklist?crypt=%5E%D2%D0%E5%98%E1%D1%CC%9E%C6%71%A1%94%95%6A%9F%69%99%D7%9C%9C%DA%E2%AA%D7%9F%97%A5%A8%9C%6E%A0%96%A0%6C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9" Type="http://schemas.openxmlformats.org/officeDocument/2006/relationships/hyperlink" Target="https://www.ibcauto.com/vehicle/checklist?crypt=%5E%D2%D0%E5%98%E1%D1%CC%9E%C6%71%A0%9B%97%6C%9B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4" Type="http://schemas.openxmlformats.org/officeDocument/2006/relationships/hyperlink" Target="https://www.ibcauto.com/vehicle/checklist?crypt=%5E%D2%D0%E5%98%E1%D1%CC%9E%C6%71%A0%9D%93%6D%A1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0" Type="http://schemas.openxmlformats.org/officeDocument/2006/relationships/hyperlink" Target="https://www.ibcauto.com/vehicle/checklist?crypt=%5E%D2%D0%E5%98%E1%D1%CC%9E%C6%71%A1%94%95%69%A3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5" Type="http://schemas.openxmlformats.org/officeDocument/2006/relationships/hyperlink" Target="https://www.ibcauto.com/vehicle/checklist?crypt=%5E%D2%D0%E5%98%E1%D1%CC%9E%C6%71%A1%94%91%6A%9E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6" Type="http://schemas.openxmlformats.org/officeDocument/2006/relationships/hyperlink" Target="https://www.ibcauto.com/vehicle/checklist?crypt=%5E%D2%D0%E5%98%E1%D1%CC%9E%C6%71%A1%94%91%6B%9F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7" Type="http://schemas.openxmlformats.org/officeDocument/2006/relationships/hyperlink" Target="http://checklist.ibcjapan.net/checklist?crypt=%5E%D2%D0%E5%98%E1%D1%CC%9E%C6%71%A1%94%96%6D%9F%6A%99%D7%9C%9C%DA%E2%AA%D7%9F%97%A5%A8%9C%6C%A4%98%9D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00" Type="http://schemas.openxmlformats.org/officeDocument/2006/relationships/hyperlink" Target="http://checklist.ibcjapan.net/checklist?crypt=%5E%D2%D0%E5%98%E1%D1%CC%9E%C6%71%A0%98%92%6D%A3%6D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05" Type="http://schemas.openxmlformats.org/officeDocument/2006/relationships/hyperlink" Target="https://apc01.safelinks.protection.outlook.com/?url=https%3A%2F%2Fwww.ibcauto.com%2Fvehicle%2Fchecklist%3Fcrypt%3D%255E%25D2%25D0%25E5%2598%25E1%25D1%25CC%259E%25C6q%25A0%2599%2593l%259D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D2%25EB%25D7%259F%2599%25DF%25A7%25CA%25A1%25CE%259C%25CF%25A4%25D3%25D4%25EB%25AF%257D%25C1%25C2%25EC%25CB%25E8%25A0%25DB%25CF%25E4%25D4%25C6%259E%25E9%255C%2597%25A1%25CF%25DC%25DE%25DA%25A1%25E6%259A%25D4%2596%25AB%259D%25A1%25D1%25D0%25E5v%2591%255E%25D8%25D8%25CE%25A7%25E6%25B6%25AC%2599%25EC%255C%25A9%25E6%25A8%25DA%25B8%2598%25A2%259F%25AA%25ED%25AB%2586%25E8%25EA%25CB&amp;data=05%7C01%7CGKeatley%40ibcauto.com%7C00dc02846d8e4acf214808daad483d0e%7Cd487dbeeb3df4578a1be2d368870f520%7C0%7C0%7C638012823057467719%7CUnknown%7CTWFpbGZsb3d8eyJWIjoiMC4wLjAwMDAiLCJQIjoiV2luMzIiLCJBTiI6Ik1haWwiLCJXVCI6Mn0%3D%7C3000%7C%7C%7C&amp;sdata=lrEXfuTkBBnyW2dypN9Gb2vZg5xQAyZxkL%2FA8dE1Kp0%3D&amp;reserved=0" TargetMode="External"/><Relationship Id="rId8" Type="http://schemas.openxmlformats.org/officeDocument/2006/relationships/hyperlink" Target="https://www.ibcauto.com/vehicle/checklist?crypt=%5E%D2%D0%E5%98%E1%D1%CC%9E%C6%71%A0%9C%96%6A%A1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1" Type="http://schemas.openxmlformats.org/officeDocument/2006/relationships/hyperlink" Target="https://www.ibcauto.com/vehicle/checklist?crypt=%5E%D2%D0%E5%98%E1%D1%CC%9E%C6%71%A1%94%92%6F%9C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2" Type="http://schemas.openxmlformats.org/officeDocument/2006/relationships/hyperlink" Target="https://www.ibcauto.com/vehicle/checklist?crypt=%5E%D2%D0%E5%98%E1%D1%CC%9E%C6%71%A0%9C%9A%6E%A2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3" Type="http://schemas.openxmlformats.org/officeDocument/2006/relationships/hyperlink" Target="http://checklist.ibcjapan.net/checklist?crypt=%5E%D2%D0%E5%98%E1%D1%CC%9E%C6%71%A0%9D%92%6D%9C%6E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98" Type="http://schemas.openxmlformats.org/officeDocument/2006/relationships/hyperlink" Target="http://checklist.ibcjapan.net/checklist?crypt=%5E%D2%D0%E5%98%E1%D1%CC%9E%C6%71%A1%94%95%6D%A4%6B%99%D7%9C%9C%DA%E2%AA%D7%9F%97%A5%A8%9C%6D%A2%9A%A4%68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3" Type="http://schemas.openxmlformats.org/officeDocument/2006/relationships/hyperlink" Target="https://www.ibcauto.com/vehicle/checklist?crypt=%5E%D2%D0%E5%98%E1%D1%CC%9E%C6%71%A0%98%93%6B%A1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5" Type="http://schemas.openxmlformats.org/officeDocument/2006/relationships/hyperlink" Target="https://www.ibcauto.com/vehicle/checklist?crypt=%5E%D2%D0%E5%98%E1%D1%CC%9E%C6%71%A0%9D%9A%67%9E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6" Type="http://schemas.openxmlformats.org/officeDocument/2006/relationships/hyperlink" Target="https://www.ibcauto.com/vehicle/checklist?crypt=%5E%D2%D0%E5%98%E1%D1%CC%9E%C6%71%A0%9D%91%6B%9C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7" Type="http://schemas.openxmlformats.org/officeDocument/2006/relationships/hyperlink" Target="https://www.ibcauto.com/vehicle/checklist?crypt=%5E%D2%D0%E5%98%E1%D1%CC%9E%C6%71%A0%9C%93%66%A0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hecklist.ibcjapan.net/checklist?crypt=%5E%D2%D0%E5%98%E1%D1%CC%9E%C6%71%A0%9D%98%67%9B%67%99%D7%9C%9C%DA%E2%AA%D7%9F%97%A5%A8%9C%6D%A2%9A%A4%69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21" Type="http://schemas.openxmlformats.org/officeDocument/2006/relationships/hyperlink" Target="https://www.ibcauto.com/vehicle/checklist?crypt=%5E%D2%D0%E5%98%E1%D1%CC%9E%C6%71%A0%98%91%67%A1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2" Type="http://schemas.openxmlformats.org/officeDocument/2006/relationships/hyperlink" Target="https://www.ibcauto.com/vehicle/checklist?crypt=%5E%D2%D0%E5%98%E1%D1%CC%9E%C6%71%A0%98%94%6A%A2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3" Type="http://schemas.openxmlformats.org/officeDocument/2006/relationships/hyperlink" Target="https://www.ibcauto.com/vehicle/checklist?crypt=%5E%D2%D0%E5%98%E1%D1%CC%9E%C6%71%A1%94%92%68%9B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4" Type="http://schemas.openxmlformats.org/officeDocument/2006/relationships/hyperlink" Target="https://www.ibcauto.com/vehicle/checklist?crypt=%5E%D2%D0%E5%98%E1%D1%CC%9E%C6%71%A1%94%93%67%9E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38" Type="http://schemas.openxmlformats.org/officeDocument/2006/relationships/hyperlink" Target="http://checklist.ibcjapan.net/checklist?crypt=%5E%D2%D0%E5%98%E1%D1%CC%9E%C6%71%A1%94%98%6B%9E%6C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59" Type="http://schemas.openxmlformats.org/officeDocument/2006/relationships/hyperlink" Target="http://checklist.ibcjapan.net/checklist?crypt=%5E%D2%D0%E5%98%E1%D1%CC%9E%C6%71%A1%95%94%6B%A2%67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70" Type="http://schemas.openxmlformats.org/officeDocument/2006/relationships/hyperlink" Target="http://checklist.ibcjapan.net/checklist?crypt=%5E%D2%D0%E5%98%E1%D1%CC%9E%C6%71%A0%9A%96%6C%A2%6F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91" Type="http://schemas.openxmlformats.org/officeDocument/2006/relationships/hyperlink" Target="http://checklist.ibcjapan.net/checklist?crypt=%5E%D2%D0%E5%98%E1%D1%CC%9E%C6%71%A1%95%91%6A%A4%6C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07" Type="http://schemas.openxmlformats.org/officeDocument/2006/relationships/hyperlink" Target="http://checklist.ibcjapan.net/checklist?crypt=%5E%D2%D0%E5%98%E1%D1%CC%9E%C6%71%A1%94%94%6B%9C%69%99%D7%9C%9C%DA%E2%AA%D7%9F%97%A5%A8%9C%6C%A3%99%A2%69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1" Type="http://schemas.openxmlformats.org/officeDocument/2006/relationships/hyperlink" Target="https://www.ibcauto.com/vehicle/checklist?crypt=%5E%D2%D0%E5%98%E1%D1%CC%9E%C6%71%A0%98%91%68%A3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2" Type="http://schemas.openxmlformats.org/officeDocument/2006/relationships/hyperlink" Target="https://www.ibcauto.com/vehicle/checklist?crypt=%5E%D2%D0%E5%98%E1%D1%CC%9E%C6%71%A0%98%92%6F%9F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3" Type="http://schemas.openxmlformats.org/officeDocument/2006/relationships/hyperlink" Target="https://www.ibcauto.com/vehicle/checklist?crypt=%5E%D2%D0%E5%98%E1%D1%CC%9E%C6%71%A0%9C%9A%69%A1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4" Type="http://schemas.openxmlformats.org/officeDocument/2006/relationships/hyperlink" Target="https://www.ibcauto.com/vehicle/checklist?crypt=%5E%D2%D0%E5%98%E1%D1%CC%9E%C6%71%A0%9D%9A%66%9B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28" Type="http://schemas.openxmlformats.org/officeDocument/2006/relationships/hyperlink" Target="http://checklist.ibcjapan.net/checklist?crypt=%5E%D2%D0%E5%98%E1%D1%CC%9E%C6%71%A0%98%94%68%9C%6B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49" Type="http://schemas.openxmlformats.org/officeDocument/2006/relationships/hyperlink" Target="http://checklist.ibcjapan.net/checklist?crypt=%5E%D2%D0%E5%98%E1%D1%CC%9E%C6%71%A1%95%98%67%9D%6C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5" Type="http://schemas.openxmlformats.org/officeDocument/2006/relationships/hyperlink" Target="https://www.ibcauto.com/vehicle/checklist?crypt=%5E%D2%D0%E5%98%E1%D1%CC%9E%C6%71%A0%97%96%6E%A2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5" Type="http://schemas.openxmlformats.org/officeDocument/2006/relationships/hyperlink" Target="https://www.ibcauto.com/vehicle/checklist?crypt=%5E%D2%D0%E5%98%E1%D1%CC%9E%C6%71%A0%9D%98%6B%A2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60" Type="http://schemas.openxmlformats.org/officeDocument/2006/relationships/hyperlink" Target="http://checklist.ibcjapan.net/checklist?crypt=%5E%D2%D0%E5%98%E1%D1%CC%9E%C6%71%A1%94%98%6B%A0%6F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81" Type="http://schemas.openxmlformats.org/officeDocument/2006/relationships/hyperlink" Target="https://trello.com/c/Zi3ycAcI" TargetMode="External"/><Relationship Id="rId22" Type="http://schemas.openxmlformats.org/officeDocument/2006/relationships/hyperlink" Target="https://www.ibcauto.com/vehicle/checklist?crypt=%5E%D2%D0%E5%98%E1%D1%CC%9E%C6%71%A0%98%91%6D%A3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3" Type="http://schemas.openxmlformats.org/officeDocument/2006/relationships/hyperlink" Target="https://www.ibcauto.com/vehicle/checklist?crypt=%5E%D2%D0%E5%98%E1%D1%CC%9E%C6%71%A0%9D%92%6B%A3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4" Type="http://schemas.openxmlformats.org/officeDocument/2006/relationships/hyperlink" Target="https://www.ibcauto.com/vehicle/checklist?crypt=%5E%D2%D0%E5%98%E1%D1%CC%9E%C6%71%A0%9D%99%6D%9B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8" Type="http://schemas.openxmlformats.org/officeDocument/2006/relationships/hyperlink" Target="http://checklist.ibcjapan.net/checklist?crypt=%5E%D2%D0%E5%98%E1%D1%CC%9E%C6%71%A1%94%9A%6F%9B%67%99%D7%9C%9C%DA%E2%AA%D7%9F%97%A5%A8%9C%6D%A2%9A%A4%69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39" Type="http://schemas.openxmlformats.org/officeDocument/2006/relationships/hyperlink" Target="http://checklist.ibcjapan.net/checklist?crypt=%5E%D2%D0%E5%98%E1%D1%CC%9E%C6%71%A0%9C%9A%6E%A2%6D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85" Type="http://schemas.openxmlformats.org/officeDocument/2006/relationships/hyperlink" Target="https://www.ibcauto.com/vehicle/checklist?crypt=%5E%D2%D0%E5%98%E1%D1%CC%9E%C6%71%A1%94%93%6B%A0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50" Type="http://schemas.openxmlformats.org/officeDocument/2006/relationships/hyperlink" Target="http://checklist.ibcjapan.net/checklist?crypt=%5E%D2%D0%E5%98%E1%D1%CC%9E%C6%71%A1%95%94%6B%9E%68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71" Type="http://schemas.openxmlformats.org/officeDocument/2006/relationships/hyperlink" Target="http://checklist.ibcjapan.net/checklist?crypt=%5E%D2%D0%E5%98%E1%D1%CC%9E%C6%71%A0%9D%93%67%A1%6C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92" Type="http://schemas.openxmlformats.org/officeDocument/2006/relationships/hyperlink" Target="http://checklist.ibcjapan.net/checklist?crypt=%5E%D2%D0%E5%98%E1%D1%CC%9E%C6%71%A1%96%98%66%A2%70%99%D7%9C%9C%DA%E2%AA%D7%9F%97%A5%A8%9C%6C%A2%9D%A1%6C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2" Type="http://schemas.openxmlformats.org/officeDocument/2006/relationships/hyperlink" Target="https://www.ibcauto.com/vehicle/checklist?crypt=%5E%D2%D0%E5%98%E1%D1%CC%9E%C6%71%A0%94%93%69%A3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3" Type="http://schemas.openxmlformats.org/officeDocument/2006/relationships/hyperlink" Target="https://www.ibcauto.com/vehicle/checklist?crypt=%5E%D2%D0%E5%98%E1%D1%CC%9E%C6%71%A0%98%92%6C%9C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8" Type="http://schemas.openxmlformats.org/officeDocument/2006/relationships/hyperlink" Target="http://checklist.ibcjapan.net/checklist?crypt=%5E%D2%D0%E5%98%E1%D1%CC%9E%C6%71%A1%94%93%6A%9C%6E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29" Type="http://schemas.openxmlformats.org/officeDocument/2006/relationships/hyperlink" Target="http://checklist.ibcjapan.net/checklist?crypt=%5E%D2%D0%E5%98%E1%D1%CC%9E%C6%71%A0%98%93%6D%9D%69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54" Type="http://schemas.openxmlformats.org/officeDocument/2006/relationships/hyperlink" Target="https://www.ibcauto.com/vehicle/checklist?crypt=%5E%D2%D0%E5%98%E1%D1%CC%9E%C6%71%A1%94%91%6A%9C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5" Type="http://schemas.openxmlformats.org/officeDocument/2006/relationships/hyperlink" Target="https://www.ibcauto.com/vehicle/checklist?crypt=%5E%D2%D0%E5%98%E1%D1%CC%9E%C6%71%A1%94%91%68%A4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6" Type="http://schemas.openxmlformats.org/officeDocument/2006/relationships/hyperlink" Target="https://www.ibcauto.com/vehicle/checklist?crypt=%5E%D2%D0%E5%98%E1%D1%CC%9E%C6%71%A1%94%92%67%A3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40" Type="http://schemas.openxmlformats.org/officeDocument/2006/relationships/hyperlink" Target="http://checklist.ibcjapan.net/checklist?crypt=%5E%D2%D0%E5%98%E1%D1%CC%9E%C6%71%A1%94%9A%68%9E%67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61" Type="http://schemas.openxmlformats.org/officeDocument/2006/relationships/hyperlink" Target="http://checklist.ibcjapan.net/checklist?crypt=%5E%D2%D0%E5%98%E1%D1%CC%9E%C6%71%A1%95%93%6E%9E%6B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82" Type="http://schemas.openxmlformats.org/officeDocument/2006/relationships/hyperlink" Target="https://trello.com/c/Cq34NSDq" TargetMode="External"/><Relationship Id="rId6" Type="http://schemas.openxmlformats.org/officeDocument/2006/relationships/hyperlink" Target="https://www.ibcauto.com/vehicle/checklist?crypt=%5E%D2%D0%E5%98%E1%D1%CC%9E%C6%71%A0%97%99%6E%A0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3" Type="http://schemas.openxmlformats.org/officeDocument/2006/relationships/hyperlink" Target="https://www.ibcauto.com/vehicle/checklist?crypt=%5E%D2%D0%E5%98%E1%D1%CC%9E%C6%71%A0%98%91%69%A4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9" Type="http://schemas.openxmlformats.org/officeDocument/2006/relationships/hyperlink" Target="http://checklist.ibcjapan.net/checklist?crypt=%5E%D2%D0%E5%98%E1%D1%CC%9E%C6%71%A1%94%9A%6E%A4%70%99%D7%9C%9C%DA%E2%AA%D7%9F%97%A5%A8%9C%6D%A2%9A%A4%69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44" Type="http://schemas.openxmlformats.org/officeDocument/2006/relationships/hyperlink" Target="https://www.ibcauto.com/vehicle/checklist?crypt=%5E%D2%D0%E5%98%E1%D1%CC%9E%C6%71%A0%9D%93%6A%9D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5" Type="http://schemas.openxmlformats.org/officeDocument/2006/relationships/hyperlink" Target="https://www.ibcauto.com/vehicle/checklist?crypt=%5E%D2%D0%E5%98%E1%D1%CC%9E%C6%71%A0%9D%94%68%9B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6" Type="http://schemas.openxmlformats.org/officeDocument/2006/relationships/hyperlink" Target="https://www.ibcauto.com/vehicle/checklist?crypt=%5E%D2%D0%E5%98%E1%D1%CC%9E%C6%71%A1%94%92%68%A3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30" Type="http://schemas.openxmlformats.org/officeDocument/2006/relationships/hyperlink" Target="http://checklist.ibcjapan.net/checklist?crypt=%5E%D2%D0%E5%98%E1%D1%CC%9E%C6%71%A0%9D%93%67%9F%70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51" Type="http://schemas.openxmlformats.org/officeDocument/2006/relationships/hyperlink" Target="http://checklist.ibcjapan.net/checklist?crypt=%5E%D2%D0%E5%98%E1%D1%CC%9E%C6%71%A1%95%94%6E%A0%6F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72" Type="http://schemas.openxmlformats.org/officeDocument/2006/relationships/hyperlink" Target="http://checklist.ibcjapan.net/checklist?crypt=%5E%D2%D0%E5%98%E1%D1%CC%9E%C6%71%A0%9D%92%69%9B%6A%99%D7%9C%9C%DA%E2%AA%D7%9F%97%A5%A8%9C%6D%A2%9A%A4%69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93" Type="http://schemas.openxmlformats.org/officeDocument/2006/relationships/hyperlink" Target="http://checklist.ibcjapan.net/checklist?crypt=%5E%D2%D0%E5%98%E1%D1%CC%9E%C6%71%A1%96%99%6B%A4%6A%99%D7%9C%9C%DA%E2%AA%D7%9F%97%A5%A8%9C%6C%A2%9D%A1%6C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3" Type="http://schemas.openxmlformats.org/officeDocument/2006/relationships/hyperlink" Target="https://www.ibcauto.com/vehicle/checklist?crypt=%5E%D2%D0%E5%98%E1%D1%CC%9E%C6%71%A0%97%99%6E%A1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9" Type="http://schemas.openxmlformats.org/officeDocument/2006/relationships/hyperlink" Target="http://checklist.ibcjapan.net/checklist?crypt=%5E%D2%D0%E5%98%E1%D1%CC%9E%C6%71%A1%94%98%66%9F%6C%99%D7%9C%9C%DA%E2%AA%D7%9F%97%A5%A8%9C%6D%A2%9A%A4%69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34" Type="http://schemas.openxmlformats.org/officeDocument/2006/relationships/hyperlink" Target="https://www.ibcauto.com/vehicle/checklist?crypt=%5E%D2%D0%E5%98%E1%D1%CC%9E%C6%71%A0%98%94%6A%9F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0" Type="http://schemas.openxmlformats.org/officeDocument/2006/relationships/hyperlink" Target="https://www.ibcauto.com/vehicle/checklist?crypt=%5E%D2%D0%E5%98%E1%D1%CC%9E%C6%71%A1%94%93%67%A0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5" Type="http://schemas.openxmlformats.org/officeDocument/2006/relationships/hyperlink" Target="https://www.ibcauto.com/vehicle/checklist?crypt=%5E%D2%D0%E5%98%E1%D1%CC%9E%C6%71%A0%9D%9A%67%9D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6" Type="http://schemas.openxmlformats.org/officeDocument/2006/relationships/hyperlink" Target="https://www.ibcauto.com/vehicle/checklist?crypt=%5E%D2%D0%E5%98%E1%D1%CC%9E%C6%71%A0%9D%95%6A%9E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7" Type="http://schemas.openxmlformats.org/officeDocument/2006/relationships/hyperlink" Target="https://www.ibcauto.com/vehicle/checklist?crypt=%5E%D2%D0%E5%98%E1%D1%CC%9E%C6%71%A1%94%93%66%9E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4" Type="http://schemas.openxmlformats.org/officeDocument/2006/relationships/hyperlink" Target="http://checklist.ibcjapan.net/checklist?crypt=%5E%D2%D0%E5%98%E1%D1%CC%9E%C6%71%A1%94%96%67%9E%6B%99%D7%9C%9C%DA%E2%AA%D7%9F%97%A5%A8%9C%6D%A1%99%9D%6B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20" Type="http://schemas.openxmlformats.org/officeDocument/2006/relationships/hyperlink" Target="http://checklist.ibcjapan.net/checklist?crypt=%5E%D2%D0%E5%98%E1%D1%CC%9E%C6%71%A1%95%91%6F%9F%69%99%D7%9C%9C%DA%E2%AA%D7%9F%97%A5%A8%9C%6D%A2%9A%A4%69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25" Type="http://schemas.openxmlformats.org/officeDocument/2006/relationships/hyperlink" Target="http://checklist.ibcjapan.net/checklist?crypt=%5E%D2%D0%E5%98%E1%D1%CC%9E%C6%71%A0%98%93%6F%A1%6E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41" Type="http://schemas.openxmlformats.org/officeDocument/2006/relationships/hyperlink" Target="http://checklist.ibcjapan.net/checklist?crypt=%5E%D2%D0%E5%98%E1%D1%CC%9E%C6%71%A1%95%92%6F%A1%69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46" Type="http://schemas.openxmlformats.org/officeDocument/2006/relationships/hyperlink" Target="http://checklist.ibcjapan.net/checklist?crypt=%5E%D2%D0%E5%98%E1%D1%CC%9E%C6%71%A1%94%9A%67%A4%6B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67" Type="http://schemas.openxmlformats.org/officeDocument/2006/relationships/hyperlink" Target="http://checklist.ibcjapan.net/checklist?crypt=%5E%D2%D0%E5%98%E1%D1%CC%9E%C6%71%A1%95%98%67%A0%6E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88" Type="http://schemas.openxmlformats.org/officeDocument/2006/relationships/hyperlink" Target="http://checklist.ibcjapan.net/checklist?crypt=%5E%D2%D0%E5%98%E1%D1%CC%9E%C6%71%A0%9D%97%6A%A1%6D%99%D7%9C%9C%DA%E2%AA%D7%9F%97%A5%A8%9C%6D%A2%9A%A4%69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7" Type="http://schemas.openxmlformats.org/officeDocument/2006/relationships/hyperlink" Target="https://www.ibcauto.com/vehicle/checklist?crypt=%5E%D2%D0%E5%98%E1%D1%CC%9E%C6%71%A0%97%99%6E%9D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1" Type="http://schemas.openxmlformats.org/officeDocument/2006/relationships/hyperlink" Target="https://www.ibcauto.com/vehicle/checklist?crypt=%5E%D2%D0%E5%98%E1%D1%CC%9E%C6%71%A0%9D%9A%6F%9B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2" Type="http://schemas.openxmlformats.org/officeDocument/2006/relationships/hyperlink" Target="https://www.ibcauto.com/vehicle/checklist?crypt=%5E%D2%D0%E5%98%E1%D1%CC%9E%C6%71%A1%94%92%6C%9D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62" Type="http://schemas.openxmlformats.org/officeDocument/2006/relationships/hyperlink" Target="http://checklist.ibcjapan.net/checklist?crypt=%5E%D2%D0%E5%98%E1%D1%CC%9E%C6%71%A1%95%98%69%9F%6F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83" Type="http://schemas.openxmlformats.org/officeDocument/2006/relationships/hyperlink" Target="https://www.ibcauto.com/vehicle/checklist?crypt=%5E%D2%D0%E5%98%E1%D1%CC%9E%C6%71%A1%94%93%6A%A1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" Type="http://schemas.openxmlformats.org/officeDocument/2006/relationships/hyperlink" Target="https://www.ibcauto.com/vehicle/checklist?crypt=%5E%D2%D0%E5%98%E1%D1%CC%9E%C6%71%A0%94%99%6C%9E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9" Type="http://schemas.openxmlformats.org/officeDocument/2006/relationships/hyperlink" Target="https://www.ibcauto.com/vehicle/checklist?crypt=%5E%D2%D0%E5%98%E1%D1%CC%9E%C6%71%A0%98%91%6B%A2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4" Type="http://schemas.openxmlformats.org/officeDocument/2006/relationships/hyperlink" Target="https://www.ibcauto.com/vehicle/checklist?crypt=%5E%D2%D0%E5%98%E1%D1%CC%9E%C6%71%A0%94%92%6F%A2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0" Type="http://schemas.openxmlformats.org/officeDocument/2006/relationships/hyperlink" Target="https://www.ibcauto.com/vehicle/checklist?crypt=%5E%D2%D0%E5%98%E1%D1%CC%9E%C6%71%A0%9D%92%6E%A3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5" Type="http://schemas.openxmlformats.org/officeDocument/2006/relationships/hyperlink" Target="https://www.ibcauto.com/vehicle/checklist?crypt=%5E%D2%D0%E5%98%E1%D1%CC%9E%C6%71%A0%9B%92%6E%A3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6" Type="http://schemas.openxmlformats.org/officeDocument/2006/relationships/hyperlink" Target="https://www.ibcauto.com/vehicle/checklist?crypt=%5E%D2%D0%E5%98%E1%D1%CC%9E%C6%71%A1%94%91%6E%A1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7" Type="http://schemas.openxmlformats.org/officeDocument/2006/relationships/hyperlink" Target="https://www.ibcauto.com/vehicle/checklist?crypt=%5E%D2%D0%E5%98%E1%D1%CC%9E%C6%71%A0%9D%94%6F%A4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0" Type="http://schemas.openxmlformats.org/officeDocument/2006/relationships/hyperlink" Target="http://checklist.ibcjapan.net/checklist?crypt=%5E%D2%D0%E5%98%E1%D1%CC%9E%C6%71%A0%9D%92%66%A2%6A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15" Type="http://schemas.openxmlformats.org/officeDocument/2006/relationships/hyperlink" Target="http://checklist.ibcjapan.net/checklist?crypt=%5E%D2%D0%E5%98%E1%D1%CC%9E%C6%71%A1%94%96%6B%A1%69%99%D7%9C%9C%DA%E2%AA%D7%9F%97%A5%A8%9C%6D%A1%99%9D%6B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31" Type="http://schemas.openxmlformats.org/officeDocument/2006/relationships/hyperlink" Target="http://checklist.ibcjapan.net/checklist?crypt=%5E%D2%D0%E5%98%E1%D1%CC%9E%C6%71%A1%94%93%6C%9F%6B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36" Type="http://schemas.openxmlformats.org/officeDocument/2006/relationships/hyperlink" Target="http://checklist.ibcjapan.net/checklist?crypt=%5E%D2%D0%E5%98%E1%D1%CC%9E%C6%71%A1%94%99%6E%A3%6C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57" Type="http://schemas.openxmlformats.org/officeDocument/2006/relationships/hyperlink" Target="http://checklist.ibcjapan.net/checklist?crypt=%5E%D2%D0%E5%98%E1%D1%CC%9E%C6%71%A1%95%97%67%9D%69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78" Type="http://schemas.openxmlformats.org/officeDocument/2006/relationships/hyperlink" Target="http://checklist.ibcjapan.net/checklist?crypt=%5E%D2%D0%E5%98%E1%D1%CC%9E%C6%71%A0%9D%93%6D%A4%6B%99%D7%9C%9C%DA%E2%AA%D7%9F%97%A5%A8%9C%6D%A2%9A%A4%69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61" Type="http://schemas.openxmlformats.org/officeDocument/2006/relationships/hyperlink" Target="https://www.ibcauto.com/vehicle/checklist?crypt=%5E%D2%D0%E5%98%E1%D1%CC%9E%C6%71%A1%94%93%6B%9E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2" Type="http://schemas.openxmlformats.org/officeDocument/2006/relationships/hyperlink" Target="https://www.ibcauto.com/vehicle/checklist?crypt=%5E%D2%D0%E5%98%E1%D1%CC%9E%C6%71%A0%9D%98%68%9F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52" Type="http://schemas.openxmlformats.org/officeDocument/2006/relationships/hyperlink" Target="http://checklist.ibcjapan.net/checklist?crypt=%5E%D2%D0%E5%98%E1%D1%CC%9E%C6%71%A1%95%94%6E%9F%70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73" Type="http://schemas.openxmlformats.org/officeDocument/2006/relationships/hyperlink" Target="http://checklist.ibcjapan.net/checklist?crypt=%5E%D2%D0%E5%98%E1%D1%CC%9E%C6%71%A1%96%95%6B%A4%69%99%D7%9C%9C%DA%E2%AA%D7%9F%97%A5%A8%9C%6D%A2%9A%A4%69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94" Type="http://schemas.openxmlformats.org/officeDocument/2006/relationships/printerSettings" Target="../printerSettings/printerSettings2.bin"/><Relationship Id="rId19" Type="http://schemas.openxmlformats.org/officeDocument/2006/relationships/hyperlink" Target="https://www.ibcauto.com/vehicle/checklist?crypt=%5E%D2%D0%E5%98%E1%D1%CC%9E%C6%71%A0%95%91%6A%A3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4" Type="http://schemas.openxmlformats.org/officeDocument/2006/relationships/hyperlink" Target="https://www.ibcauto.com/vehicle/checklist?crypt=%5E%D2%D0%E5%98%E1%D1%CC%9E%C6%71%A0%97%9A%66%A4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0" Type="http://schemas.openxmlformats.org/officeDocument/2006/relationships/hyperlink" Target="https://www.ibcauto.com/vehicle/checklist?crypt=%5E%D2%D0%E5%98%E1%D1%CC%9E%C6%71%A0%98%92%6B%A2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5" Type="http://schemas.openxmlformats.org/officeDocument/2006/relationships/hyperlink" Target="https://www.ibcauto.com/vehicle/checklist?crypt=%5E%D2%D0%E5%98%E1%D1%CC%9E%C6%71%A0%9B%99%66%9B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6" Type="http://schemas.openxmlformats.org/officeDocument/2006/relationships/hyperlink" Target="https://www.ibcauto.com/vehicle/checklist?crypt=%5E%D2%D0%E5%98%E1%D1%CC%9E%C6%71%A0%9C%94%6C%A4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7" Type="http://schemas.openxmlformats.org/officeDocument/2006/relationships/hyperlink" Target="https://www.ibcauto.com/vehicle/checklist?crypt=%5E%D2%D0%E5%98%E1%D1%CC%9E%C6%71%A1%94%92%69%9E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0" Type="http://schemas.openxmlformats.org/officeDocument/2006/relationships/hyperlink" Target="https://www.ibcauto.com/vehicle/checklist?crypt=%5E%D2%D0%E5%98%E1%D1%CC%9E%C6%71%A0%98%93%6A%9C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5" Type="http://schemas.openxmlformats.org/officeDocument/2006/relationships/hyperlink" Target="http://checklist.ibcjapan.net/checklist?crypt=%5E%D2%D0%E5%98%E1%D1%CC%9E%C6%71%A1%94%91%6B%A0%67%99%D7%9C%9C%DA%E2%AA%D7%9F%97%A5%A8%9C%6D%A1%99%9D%6B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26" Type="http://schemas.openxmlformats.org/officeDocument/2006/relationships/hyperlink" Target="http://checklist.ibcjapan.net/checklist?crypt=%5E%D2%D0%E5%98%E1%D1%CC%9E%C6%71%A0%9D%93%67%A1%6F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47" Type="http://schemas.openxmlformats.org/officeDocument/2006/relationships/hyperlink" Target="http://checklist.ibcjapan.net/checklist?crypt=%5E%D2%D0%E5%98%E1%D1%CC%9E%C6%71%A1%95%98%69%9B%67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68" Type="http://schemas.openxmlformats.org/officeDocument/2006/relationships/hyperlink" Target="https://www.ibcauto.com/vehicle/checklist?crypt=%5E%D2%D0%E5%98%E1%D1%CC%9E%C6%71%A1%94%91%6C%A4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" Type="http://schemas.openxmlformats.org/officeDocument/2006/relationships/hyperlink" Target="https://www.ibcauto.com/vehicle/checklist?crypt=%5E%D2%D0%E5%98%E1%D1%CC%9E%C6%71%A0%95%92%6A%9F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1" Type="http://schemas.openxmlformats.org/officeDocument/2006/relationships/hyperlink" Target="https://www.ibcauto.com/vehicle/checklist?crypt=%5E%D2%D0%E5%98%E1%D1%CC%9E%C6%71%A1%94%92%6F%9D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2" Type="http://schemas.openxmlformats.org/officeDocument/2006/relationships/hyperlink" Target="https://www.ibcauto.com/vehicle/checklist?crypt=%5E%D2%D0%E5%98%E1%D1%CC%9E%C6%71%A1%94%92%6A%9F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3" Type="http://schemas.openxmlformats.org/officeDocument/2006/relationships/hyperlink" Target="https://www.ibcauto.com/vehicle/checklist?crypt=%5E%D2%D0%E5%98%E1%D1%CC%9E%C6%71%A0%9D%99%68%9E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8" Type="http://schemas.openxmlformats.org/officeDocument/2006/relationships/hyperlink" Target="https://www.ibcauto.com/vehicle/checklist?crypt=%5E%D2%D0%E5%98%E1%D1%CC%9E%C6%71%A0%9D%9A%6B%A4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21" Type="http://schemas.openxmlformats.org/officeDocument/2006/relationships/hyperlink" Target="http://checklist.ibcjapan.net/checklist?crypt=%5E%D2%D0%E5%98%E1%D1%CC%9E%C6%71%A1%95%93%6A%9B%70%99%D7%9C%9C%DA%E2%AA%D7%9F%97%A5%A8%9C%6D%A2%9A%A4%69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42" Type="http://schemas.openxmlformats.org/officeDocument/2006/relationships/hyperlink" Target="http://checklist.ibcjapan.net/checklist?crypt=%5E%D2%D0%E5%98%E1%D1%CC%9E%C6%71%A1%95%96%6C%A2%70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63" Type="http://schemas.openxmlformats.org/officeDocument/2006/relationships/hyperlink" Target="http://checklist.ibcjapan.net/checklist?crypt=%5E%D2%D0%E5%98%E1%D1%CC%9E%C6%71%A1%95%97%67%9E%6B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84" Type="http://schemas.openxmlformats.org/officeDocument/2006/relationships/hyperlink" Target="http://checklist.ibcjapan.net/checklist?crypt=%5E%D2%D0%E5%98%E1%D1%CC%9E%C6%71%A1%94%92%6E%9C%68%99%D7%9C%9C%DA%E2%AA%D7%9F%97%A5%A8%9C%6D%A2%9A%A4%69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89" Type="http://schemas.openxmlformats.org/officeDocument/2006/relationships/hyperlink" Target="http://checklist.ibcjapan.net/checklist?crypt=%5E%D2%D0%E5%98%E1%D1%CC%9E%C6%71%A1%95%97%67%A0%6A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3" Type="http://schemas.openxmlformats.org/officeDocument/2006/relationships/hyperlink" Target="https://www.ibcauto.com/vehicle/checklist?crypt=%5E%D2%D0%E5%98%E1%D1%CC%9E%C6%71%9F%95%94%6D%A4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5" Type="http://schemas.openxmlformats.org/officeDocument/2006/relationships/hyperlink" Target="https://www.ibcauto.com/vehicle/checklist?crypt=%5E%D2%D0%E5%98%E1%D1%CC%9E%C6%71%A0%95%91%6B%A3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6" Type="http://schemas.openxmlformats.org/officeDocument/2006/relationships/hyperlink" Target="https://www.ibcauto.com/vehicle/checklist?crypt=%5E%D2%D0%E5%98%E1%D1%CC%9E%C6%71%9F%9C%99%6F%9F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7" Type="http://schemas.openxmlformats.org/officeDocument/2006/relationships/hyperlink" Target="https://www.ibcauto.com/vehicle/checklist?crypt=%5E%D2%D0%E5%98%E1%D1%CC%9E%C6%71%A0%9D%99%66%A1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6" Type="http://schemas.openxmlformats.org/officeDocument/2006/relationships/hyperlink" Target="http://checklist.ibcjapan.net/checklist?crypt=%5E%D2%D0%E5%98%E1%D1%CC%9E%C6%71%A1%94%99%6B%A1%6A%99%D7%9C%9C%DA%E2%AA%D7%9F%97%A5%A8%9C%6D%A1%99%9D%6B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37" Type="http://schemas.openxmlformats.org/officeDocument/2006/relationships/hyperlink" Target="http://checklist.ibcjapan.net/checklist?crypt=%5E%D2%D0%E5%98%E1%D1%CC%9E%C6%71%A1%94%93%6B%9E%67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58" Type="http://schemas.openxmlformats.org/officeDocument/2006/relationships/hyperlink" Target="http://checklist.ibcjapan.net/checklist?crypt=%5E%D2%D0%E5%98%E1%D1%CC%9E%C6%71%A1%95%94%69%A4%69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20" Type="http://schemas.openxmlformats.org/officeDocument/2006/relationships/hyperlink" Target="https://www.ibcauto.com/vehicle/checklist?crypt=%5E%D2%D0%E5%98%E1%D1%CC%9E%C6%71%A0%98%91%6F%9D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1" Type="http://schemas.openxmlformats.org/officeDocument/2006/relationships/hyperlink" Target="https://www.ibcauto.com/vehicle/checklist?crypt=%5E%D2%D0%E5%98%E1%D1%CC%9E%C6%71%A0%9D%93%6D%A4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2" Type="http://schemas.openxmlformats.org/officeDocument/2006/relationships/hyperlink" Target="https://www.ibcauto.com/vehicle/checklist?crypt=%5E%D2%D0%E5%98%E1%D1%CC%9E%C6%71%A1%94%91%6B%A2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3" Type="http://schemas.openxmlformats.org/officeDocument/2006/relationships/hyperlink" Target="https://www.ibcauto.com/vehicle/checklist?crypt=%5E%D2%D0%E5%98%E1%D1%CC%9E%C6%71%A0%9D%98%68%A0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8" Type="http://schemas.openxmlformats.org/officeDocument/2006/relationships/hyperlink" Target="https://www.ibcauto.com/vehicle/checklist?crypt=%5E%D2%D0%E5%98%E1%D1%CC%9E%C6%71%A0%9D%95%6A%9E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1" Type="http://schemas.openxmlformats.org/officeDocument/2006/relationships/hyperlink" Target="http://checklist.ibcjapan.net/checklist?crypt=%5E%D2%D0%E5%98%E1%D1%CC%9E%C6%71%A0%9A%96%6C%9C%6B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32" Type="http://schemas.openxmlformats.org/officeDocument/2006/relationships/hyperlink" Target="http://checklist.ibcjapan.net/checklist?crypt=%5E%D2%D0%E5%98%E1%D1%CC%9E%C6%71%A0%9D%92%6A%9B%6B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53" Type="http://schemas.openxmlformats.org/officeDocument/2006/relationships/hyperlink" Target="http://checklist.ibcjapan.net/checklist?crypt=%5E%D2%D0%E5%98%E1%D1%CC%9E%C6%71%A1%95%95%66%9D%6B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74" Type="http://schemas.openxmlformats.org/officeDocument/2006/relationships/hyperlink" Target="http://checklist.ibcjapan.net/checklist?crypt=%5E%D2%D0%E5%98%E1%D1%CC%9E%C6%71%A1%95%98%6A%A2%6A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79" Type="http://schemas.openxmlformats.org/officeDocument/2006/relationships/hyperlink" Target="http://checklist.ibcjapan.net/checklist?crypt=%5E%D2%D0%E5%98%E1%D1%CC%9E%C6%71%A1%94%91%66%A2%6C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90" Type="http://schemas.openxmlformats.org/officeDocument/2006/relationships/hyperlink" Target="http://checklist.ibcjapan.net/checklist?crypt=%5E%D2%D0%E5%98%E1%D1%CC%9E%C6%71%A1%95%97%69%A4%6F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5" Type="http://schemas.openxmlformats.org/officeDocument/2006/relationships/hyperlink" Target="https://www.ibcauto.com/vehicle/checklist?crypt=%5E%D2%D0%E5%98%E1%D1%CC%9E%C6%71%A0%97%9A%6A%A2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6" Type="http://schemas.openxmlformats.org/officeDocument/2006/relationships/hyperlink" Target="https://www.ibcauto.com/vehicle/checklist?crypt=%5E%D2%D0%E5%98%E1%D1%CC%9E%C6%71%A0%9C%92%6D%9B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7" Type="http://schemas.openxmlformats.org/officeDocument/2006/relationships/hyperlink" Target="https://www.ibcauto.com/vehicle/checklist?crypt=%5E%D2%D0%E5%98%E1%D1%CC%9E%C6%71%A0%9D%94%68%9C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6" Type="http://schemas.openxmlformats.org/officeDocument/2006/relationships/hyperlink" Target="http://checklist.ibcjapan.net/checklist?crypt=%5E%D2%D0%E5%98%E1%D1%CC%9E%C6%71%A0%98%92%6E%9F%6F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27" Type="http://schemas.openxmlformats.org/officeDocument/2006/relationships/hyperlink" Target="http://checklist.ibcjapan.net/checklist?crypt=%5E%D2%D0%E5%98%E1%D1%CC%9E%C6%71%A0%9D%93%67%A1%67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0" Type="http://schemas.openxmlformats.org/officeDocument/2006/relationships/hyperlink" Target="https://www.ibcauto.com/vehicle/checklist?crypt=%5E%D2%D0%E5%98%E1%D1%CC%9E%C6%71%A0%97%99%6C%9C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1" Type="http://schemas.openxmlformats.org/officeDocument/2006/relationships/hyperlink" Target="https://www.ibcauto.com/vehicle/checklist?crypt=%5E%D2%D0%E5%98%E1%D1%CC%9E%C6%71%A0%98%92%66%9E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2" Type="http://schemas.openxmlformats.org/officeDocument/2006/relationships/hyperlink" Target="https://www.ibcauto.com/vehicle/checklist?crypt=%5E%D2%D0%E5%98%E1%D1%CC%9E%C6%71%A1%94%91%66%A3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3" Type="http://schemas.openxmlformats.org/officeDocument/2006/relationships/hyperlink" Target="https://www.ibcauto.com/vehicle/checklist?crypt=%5E%D2%D0%E5%98%E1%D1%CC%9E%C6%71%A1%94%94%69%9D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8" Type="http://schemas.openxmlformats.org/officeDocument/2006/relationships/hyperlink" Target="https://www.ibcauto.com/vehicle/checklist?crypt=%5E%D2%D0%E5%98%E1%D1%CC%9E%C6%71%A1%94%93%6D%9F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4" Type="http://schemas.openxmlformats.org/officeDocument/2006/relationships/hyperlink" Target="https://www.ibcauto.com/vehicle/checklist?crypt=%5E%D2%D0%E5%98%E1%D1%CC%9E%C6%71%A1%94%93%6A%A1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9" Type="http://schemas.openxmlformats.org/officeDocument/2006/relationships/hyperlink" Target="https://www.ibcauto.com/vehicle/checklist?crypt=%5E%D2%D0%E5%98%E1%D1%CC%9E%C6%71%A0%9D%9A%66%9B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1" Type="http://schemas.openxmlformats.org/officeDocument/2006/relationships/hyperlink" Target="https://www.ibcauto.com/vehicle/checklist?crypt=%5E%D2%D0%E5%98%E1%D1%CC%9E%C6%71%A0%9D%91%6D%9C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22" Type="http://schemas.openxmlformats.org/officeDocument/2006/relationships/hyperlink" Target="http://checklist.ibcjapan.net/checklist?crypt=%5E%D2%D0%E5%98%E1%D1%CC%9E%C6%71%A1%95%94%69%A3%6F%99%D7%9C%9C%DA%E2%AA%D7%9F%97%A5%A8%9C%6D%A2%9A%A4%69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43" Type="http://schemas.openxmlformats.org/officeDocument/2006/relationships/hyperlink" Target="http://checklist.ibcjapan.net/checklist?crypt=%5E%D2%D0%E5%98%E1%D1%CC%9E%C6%71%A1%95%95%6E%A2%6D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48" Type="http://schemas.openxmlformats.org/officeDocument/2006/relationships/hyperlink" Target="http://checklist.ibcjapan.net/checklist?crypt=%5E%D2%D0%E5%98%E1%D1%CC%9E%C6%71%A1%94%95%6C%9F%6C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64" Type="http://schemas.openxmlformats.org/officeDocument/2006/relationships/hyperlink" Target="http://checklist.ibcjapan.net/checklist?crypt=%5E%D2%D0%E5%98%E1%D1%CC%9E%C6%71%A1%94%99%68%A3%68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69" Type="http://schemas.openxmlformats.org/officeDocument/2006/relationships/hyperlink" Target="http://checklist.ibcjapan.net/checklist?crypt=%5E%D2%D0%E5%98%E1%D1%CC%9E%C6%71%A1%94%99%6D%A1%68%99%D7%9C%9C%DA%E2%AA%D7%9F%97%A5%A8%9C%6D%A2%9A%A4%69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85" Type="http://schemas.openxmlformats.org/officeDocument/2006/relationships/hyperlink" Target="http://checklist.ibcjapan.net/checklist?crypt=%5E%D2%D0%E5%98%E1%D1%CC%9E%C6%71%A1%95%97%67%A0%6A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4" Type="http://schemas.openxmlformats.org/officeDocument/2006/relationships/hyperlink" Target="https://www.ibcauto.com/vehicle/checklist?crypt=%5E%D2%D0%E5%98%E1%D1%CC%9E%C6%71%A0%95%92%67%9E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" Type="http://schemas.openxmlformats.org/officeDocument/2006/relationships/hyperlink" Target="https://www.ibcauto.com/vehicle/checklist?crypt=%5E%D2%D0%E5%98%E1%D1%CC%9E%C6%71%A0%97%9A%6C%9C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80" Type="http://schemas.openxmlformats.org/officeDocument/2006/relationships/hyperlink" Target="http://checklist.ibcjapan.net/checklist?crypt=%5E%D2%D0%E5%98%E1%D1%CC%9E%C6%71%A0%98%91%6A%A4%6B%99%D7%9C%9C%DA%E2%AA%D7%9F%97%A5%A8%9C%6D%A2%9A%A4%69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26" Type="http://schemas.openxmlformats.org/officeDocument/2006/relationships/hyperlink" Target="https://www.ibcauto.com/vehicle/checklist?crypt=%5E%D2%D0%E5%98%E1%D1%CC%9E%C6%71%A0%98%91%66%A4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7" Type="http://schemas.openxmlformats.org/officeDocument/2006/relationships/hyperlink" Target="https://www.ibcauto.com/vehicle/checklist?crypt=%5E%D2%D0%E5%98%E1%D1%CC%9E%C6%71%A1%94%92%66%A0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8" Type="http://schemas.openxmlformats.org/officeDocument/2006/relationships/hyperlink" Target="https://www.ibcauto.com/vehicle/checklist?crypt=%5E%D2%D0%E5%98%E1%D1%CC%9E%C6%71%A0%9D%98%6B%A2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9" Type="http://schemas.openxmlformats.org/officeDocument/2006/relationships/hyperlink" Target="https://www.ibcauto.com/vehicle/checklist?crypt=%5E%D2%D0%E5%98%E1%D1%CC%9E%C6%71%A1%94%93%6C%9D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2" Type="http://schemas.openxmlformats.org/officeDocument/2006/relationships/hyperlink" Target="http://checklist.ibcjapan.net/checklist?crypt=%5E%D2%D0%E5%98%E1%D1%CC%9E%C6%71%A0%9A%97%6E%9D%67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33" Type="http://schemas.openxmlformats.org/officeDocument/2006/relationships/hyperlink" Target="http://checklist.ibcjapan.net/checklist?crypt=%5E%D2%D0%E5%98%E1%D1%CC%9E%C6%71%A0%98%94%68%9D%6B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54" Type="http://schemas.openxmlformats.org/officeDocument/2006/relationships/hyperlink" Target="http://checklist.ibcjapan.net/checklist?crypt=%5E%D2%D0%E5%98%E1%D1%CC%9E%C6%71%A0%9C%95%6C%A4%67%99%D7%9C%9C%DA%E2%AA%D7%9F%97%A5%A8%9C%6D%A2%9A%A4%69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75" Type="http://schemas.openxmlformats.org/officeDocument/2006/relationships/hyperlink" Target="http://checklist.ibcjapan.net/checklist?crypt=%5E%D2%D0%E5%98%E1%D1%CC%9E%C6%71%A1%94%97%68%A4%6F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6" Type="http://schemas.openxmlformats.org/officeDocument/2006/relationships/hyperlink" Target="https://www.ibcauto.com/vehicle/checklist?crypt=%5E%D2%D0%E5%98%E1%D1%CC%9E%C6%71%A0%98%91%6C%9C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7" Type="http://schemas.openxmlformats.org/officeDocument/2006/relationships/hyperlink" Target="https://www.ibcauto.com/vehicle/checklist?crypt=%5E%D2%D0%E5%98%E1%D1%CC%9E%C6%71%A0%9B%97%6E%A0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8" Type="http://schemas.openxmlformats.org/officeDocument/2006/relationships/hyperlink" Target="https://www.ibcauto.com/vehicle/checklist?crypt=%5E%D2%D0%E5%98%E1%D1%CC%9E%C6%71%A0%9D%95%67%9E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9" Type="http://schemas.openxmlformats.org/officeDocument/2006/relationships/hyperlink" Target="https://www.ibcauto.com/vehicle/checklist?crypt=%5E%D2%D0%E5%98%E1%D1%CC%9E%C6%71%A1%94%92%6B%9D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2" Type="http://schemas.openxmlformats.org/officeDocument/2006/relationships/hyperlink" Target="https://www.ibcauto.com/vehicle/checklist?crypt=%5E%D2%D0%E5%98%E1%D1%CC%9E%C6%71%A1%94%94%66%A2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23" Type="http://schemas.openxmlformats.org/officeDocument/2006/relationships/hyperlink" Target="http://checklist.ibcjapan.net/checklist?crypt=%5E%D2%D0%E5%98%E1%D1%CC%9E%C6%71%A0%9D%94%6F%A2%6D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44" Type="http://schemas.openxmlformats.org/officeDocument/2006/relationships/hyperlink" Target="http://checklist.ibcjapan.net/checklist?crypt=%5E%D2%D0%E5%98%E1%D1%CC%9E%C6%71%A1%94%98%68%9E%6A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90" Type="http://schemas.openxmlformats.org/officeDocument/2006/relationships/hyperlink" Target="https://www.ibcauto.com/vehicle/checklist?crypt=%5E%D2%D0%E5%98%E1%D1%CC%9E%C6%71%A1%94%93%66%9E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65" Type="http://schemas.openxmlformats.org/officeDocument/2006/relationships/hyperlink" Target="http://checklist.ibcjapan.net/checklist?crypt=%5E%D2%D0%E5%98%E1%D1%CC%9E%C6%71%A1%95%96%68%9D%6A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86" Type="http://schemas.openxmlformats.org/officeDocument/2006/relationships/hyperlink" Target="http://checklist.ibcjapan.net/checklist?crypt=%5E%D2%D0%E5%98%E1%D1%CC%9E%C6%71%A1%95%91%6A%A4%6C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27" Type="http://schemas.openxmlformats.org/officeDocument/2006/relationships/hyperlink" Target="https://www.ibcauto.com/vehicle/checklist?crypt=%5E%D2%D0%E5%98%E1%D1%CC%9E%C6%71%A0%98%92%6F%9D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8" Type="http://schemas.openxmlformats.org/officeDocument/2006/relationships/hyperlink" Target="https://www.ibcauto.com/vehicle/checklist?crypt=%5E%D2%D0%E5%98%E1%D1%CC%9E%C6%71%A1%94%92%69%9C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9" Type="http://schemas.openxmlformats.org/officeDocument/2006/relationships/hyperlink" Target="https://www.ibcauto.com/vehicle/checklist?crypt=%5E%D2%D0%E5%98%E1%D1%CC%9E%C6%71%A1%94%91%6D%9E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3" Type="http://schemas.openxmlformats.org/officeDocument/2006/relationships/hyperlink" Target="http://checklist.ibcjapan.net/checklist?crypt=%5E%D2%D0%E5%98%E1%D1%CC%9E%C6%71%A1%94%98%6E%A1%70%99%D7%9C%9C%DA%E2%AA%D7%9F%97%A5%A8%9C%6D%A1%99%9D%6B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34" Type="http://schemas.openxmlformats.org/officeDocument/2006/relationships/hyperlink" Target="http://checklist.ibcjapan.net/checklist?crypt=%5E%D2%D0%E5%98%E1%D1%CC%9E%C6%71%A0%98%94%6A%9E%6C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80" Type="http://schemas.openxmlformats.org/officeDocument/2006/relationships/hyperlink" Target="https://www.ibcauto.com/vehicle/checklist?crypt=%5E%D2%D0%E5%98%E1%D1%CC%9E%C6%71%A0%9D%9A%6B%A3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55" Type="http://schemas.openxmlformats.org/officeDocument/2006/relationships/hyperlink" Target="http://checklist.ibcjapan.net/checklist?crypt=%5E%D2%D0%E5%98%E1%D1%CC%9E%C6%71%A1%95%94%6E%A3%70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76" Type="http://schemas.openxmlformats.org/officeDocument/2006/relationships/hyperlink" Target="http://checklist.ibcjapan.net/checklist?crypt=%5E%D2%D0%E5%98%E1%D1%CC%9E%C6%71%A1%94%98%66%9F%68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7" Type="http://schemas.openxmlformats.org/officeDocument/2006/relationships/hyperlink" Target="https://www.ibcauto.com/vehicle/checklist?crypt=%5E%D2%D0%E5%98%E1%D1%CC%9E%C6%71%A0%98%91%6C%9D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8" Type="http://schemas.openxmlformats.org/officeDocument/2006/relationships/hyperlink" Target="https://www.ibcauto.com/vehicle/checklist?crypt=%5E%D2%D0%E5%98%E1%D1%CC%9E%C6%71%A0%9A%96%6A%9E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9" Type="http://schemas.openxmlformats.org/officeDocument/2006/relationships/hyperlink" Target="https://www.ibcauto.com/vehicle/checklist?crypt=%5E%D2%D0%E5%98%E1%D1%CC%9E%C6%71%A1%94%92%6E%9F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3" Type="http://schemas.openxmlformats.org/officeDocument/2006/relationships/hyperlink" Target="https://www.ibcauto.com/vehicle/checklist?crypt=%5E%D2%D0%E5%98%E1%D1%CC%9E%C6%71%A1%94%93%6B%A1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24" Type="http://schemas.openxmlformats.org/officeDocument/2006/relationships/hyperlink" Target="http://checklist.ibcjapan.net/checklist?crypt=%5E%D2%D0%E5%98%E1%D1%CC%9E%C6%71%A0%9D%93%6C%9F%6F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70" Type="http://schemas.openxmlformats.org/officeDocument/2006/relationships/hyperlink" Target="https://www.ibcauto.com/vehicle/checklist?crypt=%5E%D2%D0%E5%98%E1%D1%CC%9E%C6%71%A0%9D%9A%6C%9B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1" Type="http://schemas.openxmlformats.org/officeDocument/2006/relationships/hyperlink" Target="https://www.ibcauto.com/vehicle/checklist?crypt=%5E%D2%D0%E5%98%E1%D1%CC%9E%C6%71%A1%94%93%6B%9D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45" Type="http://schemas.openxmlformats.org/officeDocument/2006/relationships/hyperlink" Target="http://checklist.ibcjapan.net/checklist?crypt=%5E%D2%D0%E5%98%E1%D1%CC%9E%C6%71%A1%95%98%6A%A1%6A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66" Type="http://schemas.openxmlformats.org/officeDocument/2006/relationships/hyperlink" Target="http://checklist.ibcjapan.net/checklist?crypt=%5E%D2%D0%E5%98%E1%D1%CC%9E%C6%71%A1%95%97%6B%9C%6D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87" Type="http://schemas.openxmlformats.org/officeDocument/2006/relationships/hyperlink" Target="http://checklist.ibcjapan.net/checklist?crypt=%5E%D2%D0%E5%98%E1%D1%CC%9E%C6%71%A1%95%96%68%9B%6B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" Type="http://schemas.openxmlformats.org/officeDocument/2006/relationships/hyperlink" Target="https://www.ibcauto.com/vehicle/checklist?crypt=%5E%D2%D0%E5%98%E1%D1%CC%9E%C6%71%A0%98%93%67%9E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8" Type="http://schemas.openxmlformats.org/officeDocument/2006/relationships/hyperlink" Target="https://www.ibcauto.com/vehicle/checklist?crypt=%5E%D2%D0%E5%98%E1%D1%CC%9E%C6%71%A0%97%9A%6E%A3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9" Type="http://schemas.openxmlformats.org/officeDocument/2006/relationships/hyperlink" Target="https://www.ibcauto.com/vehicle/checklist?crypt=%5E%D2%D0%E5%98%E1%D1%CC%9E%C6%71%A0%9D%99%67%A3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4" Type="http://schemas.openxmlformats.org/officeDocument/2006/relationships/hyperlink" Target="http://checklist.ibcjapan.net/checklist?crypt=%5E%D2%D0%E5%98%E1%D1%CC%9E%C6%71%A1%94%9A%6F%9B%6F%99%D7%9C%9C%DA%E2%AA%D7%9F%97%A5%A8%9C%6D%A1%99%9D%6B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60" Type="http://schemas.openxmlformats.org/officeDocument/2006/relationships/hyperlink" Target="https://www.ibcauto.com/vehicle/checklist?crypt=%5E%D2%D0%E5%98%E1%D1%CC%9E%C6%71%A0%9C%94%67%A3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1" Type="http://schemas.openxmlformats.org/officeDocument/2006/relationships/hyperlink" Target="https://www.ibcauto.com/vehicle/checklist?crypt=%5E%D2%D0%E5%98%E1%D1%CC%9E%C6%71%A0%9D%9A%66%9B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35" Type="http://schemas.openxmlformats.org/officeDocument/2006/relationships/hyperlink" Target="http://checklist.ibcjapan.net/checklist?crypt=%5E%D2%D0%E5%98%E1%D1%CC%9E%C6%71%A0%9D%95%6A%9E%67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56" Type="http://schemas.openxmlformats.org/officeDocument/2006/relationships/hyperlink" Target="http://checklist.ibcjapan.net/checklist?crypt=%5E%D2%D0%E5%98%E1%D1%CC%9E%C6%71%A1%95%98%6A%9C%70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77" Type="http://schemas.openxmlformats.org/officeDocument/2006/relationships/hyperlink" Target="http://checklist.ibcjapan.net/checklist?crypt=%5E%D2%D0%E5%98%E1%D1%CC%9E%C6%71%A0%9C%93%6B%A4%6B%99%D7%9C%9C%DA%E2%AA%D7%9F%97%A5%A8%9C%6D%A2%9A%A4%69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8" Type="http://schemas.openxmlformats.org/officeDocument/2006/relationships/hyperlink" Target="https://www.ibcauto.com/vehicle/checklist?crypt=%5E%D2%D0%E5%98%E1%D1%CC%9E%C6%71%A0%98%91%6A%A1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9" Type="http://schemas.openxmlformats.org/officeDocument/2006/relationships/hyperlink" Target="https://www.ibcauto.com/vehicle/checklist?crypt=%5E%D2%D0%E5%98%E1%D1%CC%9E%C6%71%A0%98%94%6A%A2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bcauto.com/vehicle/checklist?crypt=%5E%D2%D0%E5%98%E1%D1%CC%9E%C6%71%9F%9C%95%6C%9F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7" Type="http://schemas.openxmlformats.org/officeDocument/2006/relationships/hyperlink" Target="http://checklist.ibcjapan.net/checklist?crypt=%5E%D2%D0%E5%98%E1%D1%CC%9E%C6%71%A0%9C%94%6A%9B%70%99%D7%9C%9C%DA%E2%AA%D7%9F%97%A5%A8%9C%6C%A2%96%A2%6F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21" Type="http://schemas.openxmlformats.org/officeDocument/2006/relationships/hyperlink" Target="https://www.ibcauto.com/vehicle/checklist?crypt=%5E%D2%D0%E5%98%E1%D1%CC%9E%C6%71%A0%9C%93%6C%9B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2" Type="http://schemas.openxmlformats.org/officeDocument/2006/relationships/hyperlink" Target="https://www.ibcauto.com/vehicle/checklist?crypt=%5E%D2%D0%E5%98%E1%D1%CC%9E%C6%71%9F%94%97%67%9C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7" Type="http://schemas.openxmlformats.org/officeDocument/2006/relationships/hyperlink" Target="https://www.ibcauto.com/vehicle/checklist?crypt=%5E%D2%D0%E5%98%E1%D1%CC%9E%C6%71%A0%95%92%67%9D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3" Type="http://schemas.openxmlformats.org/officeDocument/2006/relationships/hyperlink" Target="https://www.ibcauto.com/vehicle/checklist?crypt=%5E%D2%D0%E5%98%E1%D1%CC%9E%C6%71%A0%94%93%6B%A4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8" Type="http://schemas.openxmlformats.org/officeDocument/2006/relationships/hyperlink" Target="https://www.ibcauto.com/vehicle/checklist?crypt=%5E%D2%D0%E5%98%E1%D1%CC%9E%C6%71%A0%98%99%6C%A0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4" Type="http://schemas.openxmlformats.org/officeDocument/2006/relationships/hyperlink" Target="http://checklist.ibcjapan.net/checklist?crypt=%5E%D2%D0%E5%98%E1%D1%CC%9E%C6%71%A1%94%91%6D%9D%6C%99%D7%9C%9C%DA%E2%AA%D7%9F%97%A5%A8%9C%6E%9F%9A%A0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89" Type="http://schemas.openxmlformats.org/officeDocument/2006/relationships/hyperlink" Target="https://www.ibcauto.com/vehicle/checklist?crypt=%5E%D2%D0%E5%98%E1%D1%CC%9E%C6%71%9F%9D%99%69%A2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2" Type="http://schemas.openxmlformats.org/officeDocument/2006/relationships/hyperlink" Target="http://checklist.ibcjapan.net/checklist?crypt=%5E%D2%D0%E5%98%E1%D1%CC%9E%C6%71%9F%9D%96%6A%A3%69%99%D7%9C%9C%DA%E2%AA%D7%9F%97%A5%A8%9C%6C%A6%97%A3%6D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6" Type="http://schemas.openxmlformats.org/officeDocument/2006/relationships/hyperlink" Target="https://www.ibcauto.com/vehicle/checklist?crypt=%5E%D2%D0%E5%98%E1%D1%CC%9E%C6%71%A0%98%95%67%9E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7" Type="http://schemas.openxmlformats.org/officeDocument/2006/relationships/hyperlink" Target="http://checklist.ibcjapan.net/checklist?crypt=%5E%D2%D0%E5%98%E1%D1%CC%9E%C6%71%A0%9C%97%6A%A0%6C%99%D7%9C%9C%DA%E2%AA%D7%9F%97%A5%A8%97%68%9E%9F%A5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1" Type="http://schemas.openxmlformats.org/officeDocument/2006/relationships/hyperlink" Target="https://www.ibcauto.com/vehicle/checklist?crypt=%5E%D2%D0%E5%98%E1%D1%CC%9E%C6%71%A0%95%92%6B%9D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2" Type="http://schemas.openxmlformats.org/officeDocument/2006/relationships/hyperlink" Target="https://www.ibcauto.com/vehicle/checklist?crypt=%5E%D2%D0%E5%98%E1%D1%CC%9E%C6%71%A0%94%94%6E%A2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7" Type="http://schemas.openxmlformats.org/officeDocument/2006/relationships/hyperlink" Target="https://www.ibcauto.com/vehicle/checklist?crypt=%5E%D2%D0%E5%98%E1%D1%CC%9E%C6%71%A0%98%91%69%9C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3" Type="http://schemas.openxmlformats.org/officeDocument/2006/relationships/hyperlink" Target="https://www.ibcauto.com/vehicle/checklist?crypt=%5E%D2%D0%E5%98%E1%D1%CC%9E%C6%71%A0%98%93%69%9C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8" Type="http://schemas.openxmlformats.org/officeDocument/2006/relationships/hyperlink" Target="https://www.ibcauto.com/vehicle/checklist?crypt=%5E%D2%D0%E5%98%E1%D1%CC%9E%C6%71%9F%9B%9A%66%A3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4" Type="http://schemas.openxmlformats.org/officeDocument/2006/relationships/hyperlink" Target="https://www.ibcauto.com/vehicle/checklist?crypt=%5E%D2%D0%E5%98%E1%D1%CC%9E%C6%71%A0%9C%96%6A%A2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9" Type="http://schemas.openxmlformats.org/officeDocument/2006/relationships/hyperlink" Target="http://checklist.ibcjapan.net/checklist?crypt=%5E%D2%D0%E5%98%E1%D1%CC%9E%C6%71%A1%94%93%6C%A4%6F%99%D7%9C%9C%DA%E2%AA%D7%9F%97%A5%A8%9C%6C%A1%9F%9D%6D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02" Type="http://schemas.openxmlformats.org/officeDocument/2006/relationships/hyperlink" Target="http://checklist.ibcjapan.net/checklist?crypt=%5E%D2%D0%E5%98%E1%D1%CC%9E%C6%71%A1%94%91%68%A3%6F%99%D7%9C%9C%DA%E2%AA%D7%9F%97%A5%A8%98%66%A0%9C%A2%68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23" Type="http://schemas.openxmlformats.org/officeDocument/2006/relationships/printerSettings" Target="../printerSettings/printerSettings3.bin"/><Relationship Id="rId5" Type="http://schemas.openxmlformats.org/officeDocument/2006/relationships/hyperlink" Target="https://www.ibcauto.com/vehicle/checklist?crypt=%5E%D2%D0%E5%98%E1%D1%CC%9E%C6%71%A0%95%92%6C%A3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0" Type="http://schemas.openxmlformats.org/officeDocument/2006/relationships/hyperlink" Target="https://www.ibcauto.com/vehicle/checklist?crypt=%5E%D2%D0%E5%98%E1%D1%CC%9E%C6%71%A0%98%92%66%A3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5" Type="http://schemas.openxmlformats.org/officeDocument/2006/relationships/hyperlink" Target="http://checklist.ibcjapan.net/checklist?crypt=%5E%D2%D0%E5%98%E1%D1%CC%9E%C6%71%A1%94%94%6F%9B%68%99%D7%9C%9C%DA%E2%AA%D7%9F%97%A5%A8%9C%6E%9F%9A%A0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22" Type="http://schemas.openxmlformats.org/officeDocument/2006/relationships/hyperlink" Target="http://checklist.ibcjapan.net/checklist?crypt=%5E%D2%D0%E5%98%E1%D1%CC%9E%C6%71%A1%94%95%6B%A4%6D%99%D7%9C%9C%DA%E2%AA%D7%9F%97%A5%A8%9C%6C%A4%98%9D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27" Type="http://schemas.openxmlformats.org/officeDocument/2006/relationships/hyperlink" Target="https://www.ibcauto.com/vehicle/checklist?crypt=%5E%D2%D0%E5%98%E1%D1%CC%9E%C6%71%A0%9B%97%67%9F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3" Type="http://schemas.openxmlformats.org/officeDocument/2006/relationships/hyperlink" Target="https://www.ibcauto.com/vehicle/checklist?crypt=%5E%D2%D0%E5%98%E1%D1%CC%9E%C6%71%9F%96%95%6B%9E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8" Type="http://schemas.openxmlformats.org/officeDocument/2006/relationships/hyperlink" Target="https://www.ibcauto.com/vehicle/checklist?crypt=%5E%D2%D0%E5%98%E1%D1%CC%9E%C6%71%A0%98%91%66%9E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4" Type="http://schemas.openxmlformats.org/officeDocument/2006/relationships/hyperlink" Target="https://www.ibcauto.com/vehicle/checklist?crypt=%5E%D2%D0%E5%98%E1%D1%CC%9E%C6%71%9F%9D%96%6B%A2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9" Type="http://schemas.openxmlformats.org/officeDocument/2006/relationships/hyperlink" Target="https://www.ibcauto.com/vehicle/checklist?crypt=%5E%D2%D0%E5%98%E1%D1%CC%9E%C6%71%A0%98%95%6E%9B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3" Type="http://schemas.openxmlformats.org/officeDocument/2006/relationships/hyperlink" Target="http://checklist.ibcjapan.net/checklist?crypt=%5E%D2%D0%E5%98%E1%D1%CC%9E%C6%71%A1%94%92%6D%A4%6F%99%D7%9C%9C%DA%E2%AA%D7%9F%97%A5%A8%99%66%A1%9C%92%AA%D4%E3%D8%75%CE%9A%D1%5F%DF%E0%CC%DB%A6%DB%70%63%58%D1%E8%A6%CD%D9%CB%DA%9A%D6%B0%96%92%A4%DE%AD%D0%A6%A7%95%5C%E3%CF%CD%A0%D5%DF%B7%A1%9E%AD%85%87%B3%A7%DB%AB%CA%A4%CF%9D%DC%87%DB%CA%AB%DA%CD%D8%E1%B1%A0%CE%C4%D4%D4%C6%9C%E0%A2%9E%A8%D5%99%E0%EC%A7%D4%9E%D0%A3%9E%AA%75%9A%8E%E1%AB%CA%A6%DC%A3%DE%9E%E5%9F%79%A6%E8%A3%B5%D9%A9%DC%D8%A7%6F%84%AA%EE%D3" TargetMode="External"/><Relationship Id="rId118" Type="http://schemas.openxmlformats.org/officeDocument/2006/relationships/hyperlink" Target="http://checklist.ibcjapan.net/checklist?crypt=%5E%D2%D0%E5%98%E1%D1%CC%9E%C6%71%A1%96%92%67%9F%67%99%D7%9C%9C%DA%E2%AA%D7%9F%97%A5%A8%99%66%A1%9C%92%AA%D4%E3%D8%75%CE%9A%D1%5F%DF%E0%CC%DB%A6%DB%70%63%58%D1%E8%A6%CD%D9%CB%DA%9A%D6%B0%96%92%A4%DE%AD%D0%A6%A7%95%5C%E3%CF%CD%A0%D5%DF%B7%A1%9E%AD%85%87%B3%A7%DB%AB%CA%A4%CF%9D%DC%87%DB%CA%AB%DA%CD%D8%E1%B1%A0%CE%C4%D4%D4%C6%9C%E0%A2%9E%A8%D5%99%E0%EC%A7%D4%9E%D0%A3%9E%AA%75%9A%8E%E1%AB%CA%A6%DC%A3%DE%9E%E5%9F%79%A6%E8%A3%B5%D9%A9%DC%D8%A7%6F%84%AA%EE%D3" TargetMode="External"/><Relationship Id="rId80" Type="http://schemas.openxmlformats.org/officeDocument/2006/relationships/hyperlink" Target="https://www.ibcauto.com/vehicle/checklist?crypt=%5E%D2%D0%E5%98%E1%D1%CC%9E%C6%71%9F%94%95%6B%A0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5" Type="http://schemas.openxmlformats.org/officeDocument/2006/relationships/hyperlink" Target="http://checklist.ibcjapan.net/checklist?crypt=%5E%D2%D0%E5%98%E1%D1%CC%9E%C6%71%A0%9D%9A%6F%9D%67%99%D7%9C%9C%DA%E2%AA%D7%9F%97%A5%A8%9C%6C%A2%96%A2%6F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2" Type="http://schemas.openxmlformats.org/officeDocument/2006/relationships/hyperlink" Target="https://www.ibcauto.com/vehicle/checklist?crypt=%5E%D2%D0%E5%98%E1%D1%CC%9E%C6%71%A0%98%91%6F%9E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7" Type="http://schemas.openxmlformats.org/officeDocument/2006/relationships/hyperlink" Target="https://www.ibcauto.com/vehicle/checklist?crypt=%5E%D2%D0%E5%98%E1%D1%CC%9E%C6%71%A0%9B%94%67%A2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3" Type="http://schemas.openxmlformats.org/officeDocument/2006/relationships/hyperlink" Target="https://www.ibcauto.com/vehicle/checklist?crypt=%5E%D2%D0%E5%98%E1%D1%CC%9E%C6%71%A0%98%96%6A%9F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8" Type="http://schemas.openxmlformats.org/officeDocument/2006/relationships/hyperlink" Target="https://www.ibcauto.com/vehicle/checklist?crypt=%5E%D2%D0%E5%98%E1%D1%CC%9E%C6%71%A0%98%97%66%A2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9" Type="http://schemas.openxmlformats.org/officeDocument/2006/relationships/hyperlink" Target="https://www.ibcauto.com/vehicle/checklist?crypt=%5E%D2%D0%E5%98%E1%D1%CC%9E%C6%71%9F%9C%96%6D%A1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3" Type="http://schemas.openxmlformats.org/officeDocument/2006/relationships/hyperlink" Target="http://checklist.ibcjapan.net/checklist?crypt=%5E%D2%D0%E5%98%E1%D1%CC%9E%C6%71%A1%94%95%6A%9B%6B%99%D7%9C%9C%DA%E2%AA%D7%9F%97%A5%A8%99%66%A1%9C%92%AA%D4%E3%D8%75%CE%9A%D1%5F%DF%E0%CC%DB%A6%DB%70%63%58%D1%E8%A6%CD%D9%CB%DA%9A%D6%B0%96%92%A4%DE%AD%D0%A6%A7%95%5C%E3%CF%CD%A0%D5%DF%B7%A1%9E%AD%85%87%B3%A7%DB%AB%CA%A4%CF%9D%DC%87%DB%CA%AB%DA%CD%D8%E1%B1%A0%CE%C4%D4%D4%C6%9C%E0%A2%9E%A8%D5%99%E0%EC%A7%D4%9E%D0%A3%9E%AA%75%9A%8E%E1%AB%CA%A6%DC%A3%DE%9E%E5%9F%79%A6%E8%A3%B5%D9%A9%DC%D8%A7%6F%84%AA%EE%D3" TargetMode="External"/><Relationship Id="rId108" Type="http://schemas.openxmlformats.org/officeDocument/2006/relationships/hyperlink" Target="https://checklist.ibcjapan.net/checklist?crypt=%5E%D2%D0%E5%98%E1%D1%CC%9E%C6%71%A1%94%97%69%A0%6E%99%D7%9C%9C%DA%E2%AA%D7%9F%97%A5%A8%9C%6C%A1%9F%9D%6D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54" Type="http://schemas.openxmlformats.org/officeDocument/2006/relationships/hyperlink" Target="https://www.ibcauto.com/vehicle/checklist?crypt=%5E%D2%D0%E5%98%E1%D1%CC%9E%C6%71%A0%97%9A%67%9B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0" Type="http://schemas.openxmlformats.org/officeDocument/2006/relationships/hyperlink" Target="https://www.ibcauto.com/vehicle/checklist?crypt=%5E%D2%D0%E5%98%E1%D1%CC%9E%C6%71%A0%9A%98%6F%9E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5" Type="http://schemas.openxmlformats.org/officeDocument/2006/relationships/hyperlink" Target="https://www.ibcauto.com/vehicle/checklist?crypt=%5E%D2%D0%E5%98%E1%D1%CC%9E%C6%71%A0%9C%94%6D%9D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1" Type="http://schemas.openxmlformats.org/officeDocument/2006/relationships/hyperlink" Target="http://checklist.ibcjapan.net/checklist?crypt=%5E%D2%D0%E5%98%E1%D1%CC%9E%C6%71%A1%94%98%6E%A2%68%99%D7%9C%9C%DA%E2%AA%D7%9F%97%A5%A8%9C%6D%A5%9D%A5%6A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96" Type="http://schemas.openxmlformats.org/officeDocument/2006/relationships/hyperlink" Target="http://checklist.ibcjapan.net/checklist?crypt=%5E%D2%D0%E5%98%E1%D1%CC%9E%C6%71%A1%94%96%6A%A3%6F%99%D7%9C%9C%DA%E2%AA%D7%9F%97%A5%A8%9C%6C%A2%96%A2%6F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" Type="http://schemas.openxmlformats.org/officeDocument/2006/relationships/hyperlink" Target="https://www.ibcauto.com/vehicle/checklist?crypt=%5E%D2%D0%E5%98%E1%D1%CC%9E%C6%71%9F%9C%93%6E%9E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" Type="http://schemas.openxmlformats.org/officeDocument/2006/relationships/hyperlink" Target="https://www.ibcauto.com/vehicle/checklist?crypt=%5E%D2%D0%E5%98%E1%D1%CC%9E%C6%71%9E%9B%93%67%9F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3" Type="http://schemas.openxmlformats.org/officeDocument/2006/relationships/hyperlink" Target="http://checklist.ibcjapan.net/checklist?crypt=%5E%D2%D0%E5%98%E1%D1%CC%9E%C6%71%A1%94%93%6A%A0%6F%99%D7%9C%9C%DA%E2%AA%D7%9F%97%A5%A8%9C%6C%A4%98%9D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28" Type="http://schemas.openxmlformats.org/officeDocument/2006/relationships/hyperlink" Target="https://www.ibcauto.com/vehicle/checklist?crypt=%5E%D2%D0%E5%98%E1%D1%CC%9E%C6%71%A0%9B%9A%68%9C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9" Type="http://schemas.openxmlformats.org/officeDocument/2006/relationships/hyperlink" Target="https://www.ibcauto.com/vehicle/checklist?crypt=%5E%D2%D0%E5%98%E1%D1%CC%9E%C6%71%A0%97%9A%6E%9E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4" Type="http://schemas.openxmlformats.org/officeDocument/2006/relationships/hyperlink" Target="http://checklist.ibcjapan.net/checklist?crypt=%5E%D2%D0%E5%98%E1%D1%CC%9E%C6%71%A1%96%94%6D%A4%68%99%D7%9C%9C%DA%E2%AA%D7%9F%97%A5%A8%9C%6E%A0%99%A2%6C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19" Type="http://schemas.openxmlformats.org/officeDocument/2006/relationships/hyperlink" Target="https://trello.com/c/Qm5ld6A3" TargetMode="External"/><Relationship Id="rId44" Type="http://schemas.openxmlformats.org/officeDocument/2006/relationships/hyperlink" Target="https://www.ibcauto.com/vehicle/checklist?crypt=%5E%D2%D0%E5%98%E1%D1%CC%9E%C6%71%9F%97%94%69%A0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0" Type="http://schemas.openxmlformats.org/officeDocument/2006/relationships/hyperlink" Target="https://www.ibcauto.com/vehicle/checklist?crypt=%5E%D2%D0%E5%98%E1%D1%CC%9E%C6%71%9F%9C%94%6E%9E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5" Type="http://schemas.openxmlformats.org/officeDocument/2006/relationships/hyperlink" Target="https://www.ibcauto.com/vehicle/checklist?crypt=%5E%D2%D0%E5%98%E1%D1%CC%9E%C6%71%A0%96%92%6D%9E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1" Type="http://schemas.openxmlformats.org/officeDocument/2006/relationships/hyperlink" Target="http://checklist.ibcjapan.net/checklist?crypt=%5E%D2%D0%E5%98%E1%D1%CC%9E%C6%71%A1%94%94%6F%9D%68%99%D7%9C%9C%DA%E2%AA%D7%9F%97%A5%A8%9C%6E%9F%9A%A0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86" Type="http://schemas.openxmlformats.org/officeDocument/2006/relationships/hyperlink" Target="http://checklist.ibcjapan.net/checklist?crypt=%5E%D2%D0%E5%98%E1%D1%CC%9E%C6%71%A1%94%93%6B%A1%6A%99%D7%9C%9C%DA%E2%AA%D7%9F%97%A5%A8%9C%6E%9F%9A%A0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4" Type="http://schemas.openxmlformats.org/officeDocument/2006/relationships/hyperlink" Target="https://www.ibcauto.com/vehicle/checklist?crypt=%5E%D2%D0%E5%98%E1%D1%CC%9E%C6%71%9F%9C%9A%67%A3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" Type="http://schemas.openxmlformats.org/officeDocument/2006/relationships/hyperlink" Target="https://www.ibcauto.com/vehicle/checklist?crypt=%5E%D2%D0%E5%98%E1%D1%CC%9E%C6%71%A0%94%96%66%9B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3" Type="http://schemas.openxmlformats.org/officeDocument/2006/relationships/hyperlink" Target="https://www.ibcauto.com/vehicle/checklist?crypt=%5E%D2%D0%E5%98%E1%D1%CC%9E%C6%71%A0%98%92%6B%A0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8" Type="http://schemas.openxmlformats.org/officeDocument/2006/relationships/hyperlink" Target="https://www.ibcauto.com/vehicle/checklist?crypt=%5E%D2%D0%E5%98%E1%D1%CC%9E%C6%71%A0%9B%97%6C%9C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9" Type="http://schemas.openxmlformats.org/officeDocument/2006/relationships/hyperlink" Target="https://www.ibcauto.com/vehicle/checklist?crypt=%5E%D2%D0%E5%98%E1%D1%CC%9E%C6%71%9F%9D%97%6E%A1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9" Type="http://schemas.openxmlformats.org/officeDocument/2006/relationships/hyperlink" Target="https://trello.com/c/cBuUR1lk" TargetMode="External"/><Relationship Id="rId34" Type="http://schemas.openxmlformats.org/officeDocument/2006/relationships/hyperlink" Target="https://www.ibcauto.com/vehicle/checklist?crypt=%5E%D2%D0%E5%98%E1%D1%CC%9E%C6%71%A0%9C%97%6A%9D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0" Type="http://schemas.openxmlformats.org/officeDocument/2006/relationships/hyperlink" Target="https://www.ibcauto.com/vehicle/checklist?crypt=%5E%D2%D0%E5%98%E1%D1%CC%9E%C6%71%A0%98%92%66%9E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5" Type="http://schemas.openxmlformats.org/officeDocument/2006/relationships/hyperlink" Target="https://www.ibcauto.com/vehicle/checklist?crypt=%5E%D2%D0%E5%98%E1%D1%CC%9E%C6%71%A0%98%98%67%A0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6" Type="http://schemas.openxmlformats.org/officeDocument/2006/relationships/hyperlink" Target="https://www.ibcauto.com/vehicle/checklist?crypt=%5E%D2%D0%E5%98%E1%D1%CC%9E%C6%71%A0%9B%93%6E%9D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7" Type="http://schemas.openxmlformats.org/officeDocument/2006/relationships/hyperlink" Target="http://checklist.ibcjapan.net/checklist?crypt=%5E%D2%D0%E5%98%E1%D1%CC%9E%C6%71%A1%95%91%6A%A3%67%99%D7%9C%9C%DA%E2%AA%D7%9F%97%A5%A8%9C%6E%9F%9A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04" Type="http://schemas.openxmlformats.org/officeDocument/2006/relationships/hyperlink" Target="http://checklist.ibcjapan.net/checklist?crypt=%5E%D2%D0%E5%98%E1%D1%CC%9E%C6%71%A1%94%92%66%A3%6A%99%D7%9C%9C%DA%E2%AA%D7%9F%97%A5%A8%9C%6C%A2%99%9D%6C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20" Type="http://schemas.openxmlformats.org/officeDocument/2006/relationships/hyperlink" Target="https://checklist.ibcjapan.net/checklist?crypt=%5E%D2%D0%E5%98%E1%D1%CC%9E%C6%71%A1%95%99%68%9B%69%99%D7%9C%9C%DA%E2%AA%D7%9F%97%A5%A8%9C%6C%A2%96%A2%6F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7" Type="http://schemas.openxmlformats.org/officeDocument/2006/relationships/hyperlink" Target="https://www.ibcauto.com/vehicle/checklist?crypt=%5E%D2%D0%E5%98%E1%D1%CC%9E%C6%71%9F%95%98%6B%A1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1" Type="http://schemas.openxmlformats.org/officeDocument/2006/relationships/hyperlink" Target="https://www.ibcauto.com/vehicle/checklist?crypt=%5E%D2%D0%E5%98%E1%D1%CC%9E%C6%71%A0%9B%96%6E%A4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2" Type="http://schemas.openxmlformats.org/officeDocument/2006/relationships/hyperlink" Target="http://checklist.ibcjapan.net/checklist?crypt=%5E%D2%D0%E5%98%E1%D1%CC%9E%C6%71%A1%94%91%69%9C%6B%99%D7%9C%9C%DA%E2%AA%D7%9F%97%A5%A8%9C%6E%9F%98%9F%6A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2" Type="http://schemas.openxmlformats.org/officeDocument/2006/relationships/hyperlink" Target="https://www.ibcauto.com/vehicle/checklist?crypt=%5E%D2%D0%E5%98%E1%D1%CC%9E%C6%71%A0%98%94%69%9B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9" Type="http://schemas.openxmlformats.org/officeDocument/2006/relationships/hyperlink" Target="https://www.ibcauto.com/vehicle/checklist?crypt=%5E%D2%D0%E5%98%E1%D1%CC%9E%C6%71%9F%9C%94%6C%9E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4" Type="http://schemas.openxmlformats.org/officeDocument/2006/relationships/hyperlink" Target="https://www.ibcauto.com/vehicle/checklist?crypt=%5E%D2%D0%E5%98%E1%D1%CC%9E%C6%71%9F%9D%95%6E%9D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0" Type="http://schemas.openxmlformats.org/officeDocument/2006/relationships/hyperlink" Target="https://www.ibcauto.com/vehicle/checklist?crypt=%5E%D2%D0%E5%98%E1%D1%CC%9E%C6%71%9F%9D%97%6C%A4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5" Type="http://schemas.openxmlformats.org/officeDocument/2006/relationships/hyperlink" Target="https://www.ibcauto.com/vehicle/checklist?crypt=%5E%D2%D0%E5%98%E1%D1%CC%9E%C6%71%9F%9C%93%68%A1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6" Type="http://schemas.openxmlformats.org/officeDocument/2006/relationships/hyperlink" Target="https://www.ibcauto.com/vehicle/checklist?crypt=%5E%D2%D0%E5%98%E1%D1%CC%9E%C6%71%A0%97%9A%67%9C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7" Type="http://schemas.openxmlformats.org/officeDocument/2006/relationships/hyperlink" Target="http://checklist.ibcjapan.net/checklist?crypt=%5E%D2%D0%E5%98%E1%D1%CC%9E%C6%71%A0%9D%9A%6F%9B%6C%99%D7%9C%9C%DA%E2%AA%D7%9F%97%A5%A8%9C%6E%9F%98%9E%6A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10" Type="http://schemas.openxmlformats.org/officeDocument/2006/relationships/hyperlink" Target="http://checklist.ibcjapan.net/checklist?crypt=%5E%D2%D0%E5%98%E1%D1%CC%9E%C6%71%A1%96%94%6D%A4%68%99%D7%9C%9C%DA%E2%AA%D7%9F%97%A5%A8%9C%6E%A0%99%A2%6C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15" Type="http://schemas.openxmlformats.org/officeDocument/2006/relationships/hyperlink" Target="http://checklist.ibcjapan.net/checklist?crypt=%5E%D2%D0%E5%98%E1%D1%CC%9E%C6%71%A1%96%93%6E%9C%67%99%D7%9C%9C%DA%E2%AA%D7%9F%97%A5%A8%9C%6E%A0%99%A2%6C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61" Type="http://schemas.openxmlformats.org/officeDocument/2006/relationships/hyperlink" Target="https://www.ibcauto.com/vehicle/checklist?crypt=%5E%D2%D0%E5%98%E1%D1%CC%9E%C6%71%9F%9C%93%6A%9B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2" Type="http://schemas.openxmlformats.org/officeDocument/2006/relationships/hyperlink" Target="http://checklist.ibcjapan.net/checklist?crypt=%5E%D2%D0%E5%98%E1%D1%CC%9E%C6%71%A0%9D%9A%6F%9B%68%99%D7%9C%9C%DA%E2%AA%D7%9F%97%A5%A8%9C%6E%9F%9A%A0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9" Type="http://schemas.openxmlformats.org/officeDocument/2006/relationships/hyperlink" Target="https://www.ibcauto.com/vehicle/checklist?crypt=%5E%D2%D0%E5%98%E1%D1%CC%9E%C6%71%A0%9B%9A%68%9D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4" Type="http://schemas.openxmlformats.org/officeDocument/2006/relationships/hyperlink" Target="https://www.ibcauto.com/vehicle/checklist?crypt=%5E%D2%D0%E5%98%E1%D1%CC%9E%C6%71%A0%98%92%6E%9C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0" Type="http://schemas.openxmlformats.org/officeDocument/2006/relationships/hyperlink" Target="https://www.ibcauto.com/vehicle/checklist?crypt=%5E%D2%D0%E5%98%E1%D1%CC%9E%C6%71%A0%98%93%6B%A1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5" Type="http://schemas.openxmlformats.org/officeDocument/2006/relationships/hyperlink" Target="https://www.ibcauto.com/vehicle/checklist?crypt=%5E%D2%D0%E5%98%E1%D1%CC%9E%C6%71%A0%9C%97%6A%9E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6" Type="http://schemas.openxmlformats.org/officeDocument/2006/relationships/hyperlink" Target="https://www.ibcauto.com/vehicle/checklist?crypt=%5E%D2%D0%E5%98%E1%D1%CC%9E%C6%71%A0%9C%96%6C%9D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7" Type="http://schemas.openxmlformats.org/officeDocument/2006/relationships/hyperlink" Target="https://www.ibcauto.com/vehicle/checklist?crypt=%5E%D2%D0%E5%98%E1%D1%CC%9E%C6%71%A0%9D%91%6C%9B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0" Type="http://schemas.openxmlformats.org/officeDocument/2006/relationships/hyperlink" Target="http://checklist.ibcjapan.net/checklist?crypt=%5E%D2%D0%E5%98%E1%D1%CC%9E%C6%71%A1%94%98%66%A0%6E%99%D7%9C%9C%DA%E2%AA%D7%9F%97%A5%A8%95%6A%A1%9F%A1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05" Type="http://schemas.openxmlformats.org/officeDocument/2006/relationships/hyperlink" Target="http://checklist.ibcjapan.net/checklist?crypt=%5E%D2%D0%E5%98%E1%D1%CC%9E%C6%71%A1%94%93%6A%A1%69%99%D7%9C%9C%DA%E2%AA%D7%9F%97%A5%A8%9C%6E%9F%9A%A0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8" Type="http://schemas.openxmlformats.org/officeDocument/2006/relationships/hyperlink" Target="https://www.ibcauto.com/vehicle/checklist?crypt=%5E%D2%D0%E5%98%E1%D1%CC%9E%C6%71%9F%9B%97%6B%9C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1" Type="http://schemas.openxmlformats.org/officeDocument/2006/relationships/hyperlink" Target="https://www.ibcauto.com/vehicle/checklist?crypt=%5E%D2%D0%E5%98%E1%D1%CC%9E%C6%71%A0%98%92%66%9E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2" Type="http://schemas.openxmlformats.org/officeDocument/2006/relationships/hyperlink" Target="https://www.ibcauto.com/vehicle/checklist?crypt=%5E%D2%D0%E5%98%E1%D1%CC%9E%C6%71%A0%9C%91%67%A2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3" Type="http://schemas.openxmlformats.org/officeDocument/2006/relationships/hyperlink" Target="http://checklist.ibcjapan.net/checklist?crypt=%5E%D2%D0%E5%98%E1%D1%CC%9E%C6%71%A1%94%95%6D%A4%6D%99%D7%9C%9C%DA%E2%AA%D7%9F%97%A5%A8%9C%6C%A2%96%A2%6F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98" Type="http://schemas.openxmlformats.org/officeDocument/2006/relationships/hyperlink" Target="http://checklist.ibcjapan.net/checklist?crypt=%5E%D2%D0%E5%98%E1%D1%CC%9E%C6%71%A1%94%9A%6C%9C%6E%99%D7%9C%9C%DA%E2%AA%D7%9F%97%A5%A8%9C%6E%A0%99%A2%6C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21" Type="http://schemas.openxmlformats.org/officeDocument/2006/relationships/hyperlink" Target="http://checklist.ibcjapan.net/checklist?crypt=%5E%D2%D0%E5%98%E1%D1%CC%9E%C6%71%A1%96%9A%6F%9E%6D%99%D7%9C%9C%DA%E2%AA%D7%9F%97%A5%A8%9C%6D%A5%9B%A2%6B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3" Type="http://schemas.openxmlformats.org/officeDocument/2006/relationships/hyperlink" Target="https://www.ibcauto.com/vehicle/checklist?crypt=%5E%D2%D0%E5%98%E1%D1%CC%9E%C6%71%9F%9B%98%69%9E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5" Type="http://schemas.openxmlformats.org/officeDocument/2006/relationships/hyperlink" Target="https://www.ibcauto.com/vehicle/checklist?crypt=%5E%D2%D0%E5%98%E1%D1%CC%9E%C6%71%9F%9D%96%6D%9E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6" Type="http://schemas.openxmlformats.org/officeDocument/2006/relationships/hyperlink" Target="https://www.ibcauto.com/vehicle/checklist?crypt=%5E%D2%D0%E5%98%E1%D1%CC%9E%C6%71%9F%9C%91%6F%9B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7" Type="http://schemas.openxmlformats.org/officeDocument/2006/relationships/hyperlink" Target="https://www.ibcauto.com/vehicle/checklist?crypt=%5E%D2%D0%E5%98%E1%D1%CC%9E%C6%71%A0%97%9A%67%A0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6" Type="http://schemas.openxmlformats.org/officeDocument/2006/relationships/hyperlink" Target="http://checklist.ibcjapan.net/checklist?crypt=%5E%D2%D0%E5%98%E1%D1%CC%9E%C6%71%A0%9C%97%68%A4%6D%99%D7%9C%9C%DA%E2%AA%D7%9F%97%A5%A8%9C%6C%A2%96%A2%6F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20" Type="http://schemas.openxmlformats.org/officeDocument/2006/relationships/hyperlink" Target="https://www.ibcauto.com/vehicle/checklist?crypt=%5E%D2%D0%E5%98%E1%D1%CC%9E%C6%71%A0%9B%95%6F%A3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1" Type="http://schemas.openxmlformats.org/officeDocument/2006/relationships/hyperlink" Target="https://www.ibcauto.com/vehicle/checklist?crypt=%5E%D2%D0%E5%98%E1%D1%CC%9E%C6%71%9F%94%93%6B%9E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2" Type="http://schemas.openxmlformats.org/officeDocument/2006/relationships/hyperlink" Target="https://www.ibcauto.com/vehicle/checklist?crypt=%5E%D2%D0%E5%98%E1%D1%CC%9E%C6%71%9F%97%98%6B%A3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3" Type="http://schemas.openxmlformats.org/officeDocument/2006/relationships/hyperlink" Target="http://checklist.ibcjapan.net/checklist?crypt=%5E%D2%D0%E5%98%E1%D1%CC%9E%C6%71%A1%94%91%6D%9B%68%99%D7%9C%9C%DA%E2%AA%D7%9F%97%A5%A8%9C%6E%9F%9A%A0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88" Type="http://schemas.openxmlformats.org/officeDocument/2006/relationships/hyperlink" Target="http://checklist.ibcjapan.net/checklist?crypt=%5E%D2%D0%E5%98%E1%D1%CC%9E%C6%71%A1%94%92%69%9E%68%99%D7%9C%9C%DA%E2%AA%D7%9F%97%A5%A8%9C%6C%A2%96%A2%6F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11" Type="http://schemas.openxmlformats.org/officeDocument/2006/relationships/hyperlink" Target="http://checklist.ibcjapan.net/checklist?crypt=%5E%D2%D0%E5%98%E1%D1%CC%9E%C6%71%A1%96%93%6E%9D%6C%99%D7%9C%9C%DA%E2%AA%D7%9F%97%A5%A8%9C%6E%A0%99%A2%6C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5" Type="http://schemas.openxmlformats.org/officeDocument/2006/relationships/hyperlink" Target="https://www.ibcauto.com/vehicle/checklist?crypt=%5E%D2%D0%E5%98%E1%D1%CC%9E%C6%71%A0%98%95%67%9B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6" Type="http://schemas.openxmlformats.org/officeDocument/2006/relationships/hyperlink" Target="https://www.ibcauto.com/vehicle/checklist?crypt=%5E%D2%D0%E5%98%E1%D1%CC%9E%C6%71%9F%98%94%69%9C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7" Type="http://schemas.openxmlformats.org/officeDocument/2006/relationships/hyperlink" Target="https://www.ibcauto.com/vehicle/checklist?crypt=%5E%D2%D0%E5%98%E1%D1%CC%9E%C6%71%9F%9C%96%67%A2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6" Type="http://schemas.openxmlformats.org/officeDocument/2006/relationships/hyperlink" Target="http://checklist.ibcjapan.net/checklist?crypt=%5E%D2%D0%E5%98%E1%D1%CC%9E%C6%71%A0%9D%98%6B%9E%69%99%D7%9C%9C%DA%E2%AA%D7%9F%97%A5%A8%9C%6C%A2%96%A2%6F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0" Type="http://schemas.openxmlformats.org/officeDocument/2006/relationships/hyperlink" Target="https://www.ibcauto.com/vehicle/checklist?crypt=%5E%D2%D0%E5%98%E1%D1%CC%9E%C6%71%A0%94%95%6B%A0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1" Type="http://schemas.openxmlformats.org/officeDocument/2006/relationships/hyperlink" Target="https://www.ibcauto.com/vehicle/checklist?crypt=%5E%D2%D0%E5%98%E1%D1%CC%9E%C6%71%9E%9A%92%6B%A0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2" Type="http://schemas.openxmlformats.org/officeDocument/2006/relationships/hyperlink" Target="https://www.ibcauto.com/vehicle/checklist?crypt=%5E%D2%D0%E5%98%E1%D1%CC%9E%C6%71%A0%98%91%6F%9C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3" Type="http://schemas.openxmlformats.org/officeDocument/2006/relationships/hyperlink" Target="https://www.ibcauto.com/vehicle/checklist?crypt=%5E%D2%D0%E5%98%E1%D1%CC%9E%C6%71%A0%9C%95%6C%A1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8" Type="http://schemas.openxmlformats.org/officeDocument/2006/relationships/hyperlink" Target="https://www.ibcauto.com/vehicle/checklist?crypt=%5E%D2%D0%E5%98%E1%D1%CC%9E%C6%71%A0%9C%9A%66%A2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4" Type="http://schemas.openxmlformats.org/officeDocument/2006/relationships/hyperlink" Target="http://checklist.ibcjapan.net/checklist?crypt=%5E%D2%D0%E5%98%E1%D1%CC%9E%C6%71%A1%94%95%68%9C%6D%99%D7%9C%9C%DA%E2%AA%D7%9F%97%A5%A8%9C%6C%A2%96%A2%6F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99" Type="http://schemas.openxmlformats.org/officeDocument/2006/relationships/hyperlink" Target="http://checklist.ibcjapan.net/checklist?crypt=%5E%D2%D0%E5%98%E1%D1%CC%9E%C6%71%A1%94%97%6C%9B%6D%99%D7%9C%9C%DA%E2%AA%D7%9F%97%A5%A8%9C%6E%A0%96%A0%6C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01" Type="http://schemas.openxmlformats.org/officeDocument/2006/relationships/hyperlink" Target="http://checklist.ibcjapan.net/checklist?crypt=%5E%D2%D0%E5%98%E1%D1%CC%9E%C6%71%A1%94%99%69%A2%68%99%D7%9C%9C%DA%E2%AA%D7%9F%97%A5%A8%9C%6C%A2%96%A2%6F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22" Type="http://schemas.openxmlformats.org/officeDocument/2006/relationships/hyperlink" Target="http://checklist.ibcjapan.net/checklist?crypt=%5E%D2%D0%E5%98%E1%D1%CC%9E%C6%71%A0%9D%99%68%A4%6B%99%D7%9C%9C%DA%E2%AA%D7%9F%97%A5%A8%9C%6E%9F%98%9E%6A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checklist.ibcjapan.net/checklist?crypt=%5E%CF%DE%DE%A0%B6%DC%DB%93%CC%9F%D1%D6%87%9F%CF%AD%D8%D6%A1%9C%D1%D4s%9Dbbd%A2%9B%5C%D2%CF%DF%A7%D7%D0%ECu%C8%A0%D3%9C%D7%D8%D4%DA%A5%C9%A8%95%A6%CA%E2%A2%DD%D9%CF%CC%A9" TargetMode="External"/><Relationship Id="rId18" Type="http://schemas.openxmlformats.org/officeDocument/2006/relationships/hyperlink" Target="https://checklist.ibcjapan.net/checklist?crypt=%5E%CF%DE%DE%A0%B6%DC%DB%93%CC%9F%D1%D6%87%9F%CF%AD%D8%D6%A1%9C%D1%D4s%9Ddfk%A1%94%5C%D2%CF%DF%A7%D7%D0%ECu%C8%A0%D3%9C%D7%D8%D4%DA%A5%C9%A8%95%A6%CA%E2%A2%DD%D9%CF%CC%A9" TargetMode="External"/><Relationship Id="rId26" Type="http://schemas.openxmlformats.org/officeDocument/2006/relationships/hyperlink" Target="https://checklist.ibcjapan.net/checklist?crypt=%5E%CF%DE%DE%A0%B6%DC%DB%93%CC%9F%D1%D6%87%9F%CF%AD%D8%D6%A1%9C%D1%D4s%9Dcih%9C%9D%5C%D2%CF%DF%A7%D7%D0%ECu%C8%A0%D3%9C%D7%D8%D4%DA%A5%C9%A8%95%A6%CA%E2%A2%DD%D9%CF%CC%A9" TargetMode="External"/><Relationship Id="rId39" Type="http://schemas.openxmlformats.org/officeDocument/2006/relationships/printerSettings" Target="../printerSettings/printerSettings4.bin"/><Relationship Id="rId21" Type="http://schemas.openxmlformats.org/officeDocument/2006/relationships/hyperlink" Target="https://checklist.ibcjapan.net/checklist?crypt=%5E%CF%DE%DE%A0%B6%DC%DB%93%CC%9F%D1%D6%87%9F%CF%AD%D8%D6%A1%9C%D1%D4s%9Ckfl%9F%99%5C%D2%CF%DF%A7%D7%D0%ECu%C8%A0%D3%9C%D7%D8%D4%DA%A5%C9%A8%95%A6%CA%E2%A2%DD%D9%CF%CC%A9" TargetMode="External"/><Relationship Id="rId34" Type="http://schemas.openxmlformats.org/officeDocument/2006/relationships/hyperlink" Target="https://checklist.ibcjapan.net/checklist?crypt=%5E%CF%DE%DE%A0%B6%DC%DB%93%CC%9F%D1%D6%87%9F%CF%AD%D8%D6%A1%9C%D1%D4s%9Dckh%9D%99%5C%D2%CF%DF%A7%D7%D0%ECu%C8%A0%D3%9C%D7%D8%D4%DA%A5%C9%A8%95%A6%CA%E2%A2%DD%D9%CF%CC%A9" TargetMode="External"/><Relationship Id="rId7" Type="http://schemas.openxmlformats.org/officeDocument/2006/relationships/hyperlink" Target="https://checklist.ibcjapan.net/checklist?crypt=%5E%CF%DE%DE%A0%B6%DC%DB%93%CC%9F%D1%D6%87%9F%CF%AD%D8%D6%A1%9C%D1%D4s%9Ckfl%A2%94%5C%D2%CF%DF%A7%D7%D0%ECu%C8%A0%D3%9C%D7%D8%D4%DA%A5%C9%A8%95%A6%CA%E2%A2%DD%D9%CF%CC%A9" TargetMode="External"/><Relationship Id="rId12" Type="http://schemas.openxmlformats.org/officeDocument/2006/relationships/hyperlink" Target="https://checklist.ibcjapan.net/checklist?crypt=%5E%CF%DE%DE%A0%B6%DC%DB%93%CC%9F%D1%D6%87%9F%CF%AD%D8%D6%A1%9C%D1%D4s%9Ckkl%9E%98%5C%D2%CF%DF%A7%D7%D0%ECu%C8%A0%D3%9C%D7%D8%D4%DA%A5%C9%A8%95%A6%CA%E2%A2%DD%D9%CF%CC%A9" TargetMode="External"/><Relationship Id="rId17" Type="http://schemas.openxmlformats.org/officeDocument/2006/relationships/hyperlink" Target="https://checklist.ibcjapan.net/checklist?crypt=%5E%CF%DE%DE%A0%B6%DC%DB%93%CC%9F%D1%D6%87%9F%CF%AD%D8%D6%A1%9C%D1%D4s%9Dbbc%A4%96%5C%D2%CF%DF%A7%D7%D0%ECu%C8%A0%D3%9C%D7%D8%D4%DA%A5%C9%A8%95%A6%CA%E2%A2%DD%D9%CF%CC%A9" TargetMode="External"/><Relationship Id="rId25" Type="http://schemas.openxmlformats.org/officeDocument/2006/relationships/hyperlink" Target="https://checklist.ibcjapan.net/checklist?crypt=%5E%CF%DE%DE%A0%B6%DC%DB%93%CC%9F%D1%D6%87%9F%CF%AD%D8%D6%A1%9C%D1%D4s%9Ckgg%A0%97%5C%D2%CF%DF%A7%D7%D0%ECu%C8%A0%D3%9C%D7%D8%D4%DA%A5%C9%A8%95%A6%CA%E2%A2%DD%D9%CF%CC%A9" TargetMode="External"/><Relationship Id="rId33" Type="http://schemas.openxmlformats.org/officeDocument/2006/relationships/hyperlink" Target="https://checklist.ibcjapan.net/checklist?crypt=%5E%CF%DE%DE%A0%B6%DC%DB%93%CC%9F%D1%D6%87%9F%CF%AD%D8%D6%A1%9C%D1%D4s%9Ckgi%A3%9C%5C%D2%CF%DF%A7%D7%D0%ECu%C8%A0%D3%9C%D7%D8%D4%DA%A5%C9%A8%95%A6%CA%E2%A2%DD%D9%CF%CC%A9" TargetMode="External"/><Relationship Id="rId38" Type="http://schemas.openxmlformats.org/officeDocument/2006/relationships/hyperlink" Target="https://checklist.ibcjapan.net/checklist?crypt=%5E%CF%DE%DE%A0%B6%DC%DB%93%CC%9F%D1%D6%87%9F%CF%AD%D8%D6%A1%9C%D1%D4s%9Ckgd%9B%98%5C%D2%CF%DF%A7%D7%D0%ECu%C8%A0%D3%9C%D7%D8%D4%DA%A5%C9%A8%95%A6%CA%E2%A2%DD%D9%CF%CC%A9" TargetMode="External"/><Relationship Id="rId2" Type="http://schemas.openxmlformats.org/officeDocument/2006/relationships/hyperlink" Target="https://checklist.ibcjapan.net/checklist?crypt=%5E%CF%DE%DE%A0%B6%DC%DB%93%CC%9F%D1%D6%87%9F%CF%AD%D8%D6%A1%9C%D1%D4s%9Ckgd%9B%96%5C%D2%CF%DF%A7%D7%D0%ECu%C8%A0%D3%9C%D7%D8%D4%DA%A5%C9%A8%95%A6%CA%E2%A2%DD%D9%CF%CC%A9" TargetMode="External"/><Relationship Id="rId16" Type="http://schemas.openxmlformats.org/officeDocument/2006/relationships/hyperlink" Target="https://checklist.ibcjapan.net/checklist?crypt=%5E%CF%DE%DE%A0%B6%DC%DB%93%CC%9F%D1%D6%87%9F%CF%AD%D8%D6%A1%9C%D1%D4s%9Ckfl%A2%95%5C%D2%CF%DF%A7%D7%D0%ECu%C8%A0%D3%9C%D7%D8%D4%DA%A5%C9%A8%95%A6%CA%E2%A2%DD%D9%CF%CC%A9" TargetMode="External"/><Relationship Id="rId20" Type="http://schemas.openxmlformats.org/officeDocument/2006/relationships/hyperlink" Target="https://checklist.ibcjapan.net/checklist?crypt=%5E%CF%DE%DE%A0%B6%DC%DB%93%CC%9F%D1%D6%87%9F%CF%AD%D8%D6%A1%9C%D1%D4s%9Dbbc%A3%99%5C%D2%CF%DF%A7%D7%D0%ECu%C8%A0%D3%9C%D7%D8%D4%DA%A5%C9%A8%95%A6%CA%E2%A2%DD%D9%CF%CC%A9" TargetMode="External"/><Relationship Id="rId29" Type="http://schemas.openxmlformats.org/officeDocument/2006/relationships/hyperlink" Target="https://checklist.ibcjapan.net/checklist?crypt=%5E%CF%DE%DE%A0%B6%DC%DB%93%CC%9F%D1%D6%87%9F%CF%AD%D8%D6%A1%9C%D1%D4s%9Ckfl%A3%96%5C%D2%CF%DF%A7%D7%D0%ECu%C8%A0%D3%9C%D7%D8%D4%DA%A5%C9%A8%95%A6%CA%E2%A2%DD%D9%CF%CC%A9" TargetMode="External"/><Relationship Id="rId1" Type="http://schemas.openxmlformats.org/officeDocument/2006/relationships/hyperlink" Target="https://www.ibcauto.com/checklist?crypt=%5E%DC%D5%E3%98%B6%D1%CB%95%87%A7%E0%C5%D5%AB%DEt%A7%94%AA%9E%CC%D8%A5%D6ohY%CF%CD%A9%DE%D2%CD%B0%A8%D2%DB%9D%C8%A3%DA%A2%DF%E0%CC%DC%94%DC%9C%A1%A0%D4%DB%99%CF%E5%90%D5%A4%D8%D8%D9%A9i%95%9F%DD%A2%D7%9F%AA%E3%CB%D1%A2%CB%E3%A0%D2%DC%DD%98%A0%CF%CD%D3%9E%A6m%9Dq%A3%94%B0" TargetMode="External"/><Relationship Id="rId6" Type="http://schemas.openxmlformats.org/officeDocument/2006/relationships/hyperlink" Target="https://checklist.ibcjapan.net/checklist?crypt=%5E%CF%DE%DE%A0%B6%DC%DB%93%CC%9F%D1%D6%87%9F%CF%AD%D8%D6%A1%9C%D1%D4s%9Dbff%A1%9A%5C%D2%CF%DF%A7%D7%D0%ECu%C8%A0%D3%9C%D7%D8%D4%DA%A5%C9%A8%95%A6%CA%E2%A2%DD%D9%CF%CC%A9" TargetMode="External"/><Relationship Id="rId11" Type="http://schemas.openxmlformats.org/officeDocument/2006/relationships/hyperlink" Target="https://checklist.ibcjapan.net/checklist?crypt=%5E%CF%DE%DE%A0%B6%DC%DB%93%CC%9F%D1%D6%87%9F%CF%AD%D8%D6%A1%9C%D1%D4s%9Dbeh%9C%9D%5C%D2%CF%DF%A7%D7%D0%ECu%C8%A0%D3%9C%D7%D8%D4%DA%A5%C9%A8%95%A6%CA%E2%A2%DD%D9%CF%CC%A9" TargetMode="External"/><Relationship Id="rId24" Type="http://schemas.openxmlformats.org/officeDocument/2006/relationships/hyperlink" Target="https://checklist.ibcjapan.net/checklist?crypt=%5E%CF%DE%DE%A0%B6%DC%DB%93%CC%9F%D1%D6%87%9F%CF%AD%D8%D6%A1%9C%D1%D4s%9Ckfl%9E%95%5C%D2%CF%DF%A7%D7%D0%ECu%C8%A0%D3%9C%D7%D8%D4%DA%A5%C9%A8%95%A6%CA%E2%A2%DD%D9%CF%CC%A9" TargetMode="External"/><Relationship Id="rId32" Type="http://schemas.openxmlformats.org/officeDocument/2006/relationships/hyperlink" Target="https://checklist.ibcjapan.net/checklist?crypt=%5E%CF%DE%DE%A0%B6%DC%DB%93%CC%9F%D1%D6%87%9F%CF%AD%D8%D6%A1%9C%D1%D4s%9Debe%A0%99%5C%D2%CF%DF%A7%D7%D0%ECu%C8%A0%D3%9C%D7%D8%D4%DA%A5%C9%A8%95%A6%CA%E2%A2%DD%D9%CF%CC%A9" TargetMode="External"/><Relationship Id="rId37" Type="http://schemas.openxmlformats.org/officeDocument/2006/relationships/hyperlink" Target="https://checklist.ibcjapan.net/checklist?crypt=%5E%CF%DE%DE%A0%B6%DC%DB%93%CC%9F%D1%D6%87%9F%CF%AD%D8%D6%A1%9C%D1%D4s%9Ckhe%A1%98%5C%D2%CF%DF%A7%D7%D0%ECu%C8%A0%D3%9C%D7%D8%D4%DA%A5%C9%A8%95%A6%CA%E2%A2%DD%D9%CF%CC%A9" TargetMode="External"/><Relationship Id="rId5" Type="http://schemas.openxmlformats.org/officeDocument/2006/relationships/hyperlink" Target="https://checklist.ibcjapan.net/checklist?crypt=%5E%CF%DE%DE%A0%B6%DC%DB%93%CC%9F%D1%D6%87%9F%CF%AD%D8%D6%A1%9C%D1%D4s%9Dckh%9D%9A%5C%D2%CF%DF%A7%D7%D0%ECu%C8%A0%D3%9C%D7%D8%D4%DA%A5%C9%A8%95%A6%CA%E2%A2%DD%D9%CF%CC%A9" TargetMode="External"/><Relationship Id="rId15" Type="http://schemas.openxmlformats.org/officeDocument/2006/relationships/hyperlink" Target="https://checklist.ibcjapan.net/checklist?crypt=%5E%CF%DE%DE%A0%B6%DC%DB%93%CC%9F%D1%D6%87%9F%CF%AD%D8%D6%A1%9C%D1%D4s%9Dckh%9D%95%5C%D2%CF%DF%A7%D7%D0%ECu%C8%A0%D3%9C%D7%D8%D4%DA%A5%C9%A8%95%A6%CA%E2%A2%DD%D9%CF%CC%A9" TargetMode="External"/><Relationship Id="rId23" Type="http://schemas.openxmlformats.org/officeDocument/2006/relationships/hyperlink" Target="https://checklist.ibcjapan.net/checklist?crypt=%5E%CF%DE%DE%A0%B6%DC%DB%93%CC%9F%D1%D6%87%9F%CF%AD%D8%D6%A1%9C%D1%D4s%9Ckfl%9F%9B%5C%D2%CF%DF%A7%D7%D0%ECu%C8%A0%D3%9C%D7%D8%D4%DA%A5%C9%A8%95%A6%CA%E2%A2%DD%D9%CF%CC%A9" TargetMode="External"/><Relationship Id="rId28" Type="http://schemas.openxmlformats.org/officeDocument/2006/relationships/hyperlink" Target="https://checklist.ibcjapan.net/checklist?crypt=%5E%CF%DE%DE%A0%B6%DC%DB%93%CC%9F%D1%D6%87%9F%CF%AD%D8%D6%A1%9C%D1%D4s%9Dbbe%A2%97%5C%D2%CF%DF%A7%D7%D0%ECu%C8%A0%D3%9C%D7%D8%D4%DA%A5%C9%A8%95%A6%CA%E2%A2%DD%D9%CF%CC%A9" TargetMode="External"/><Relationship Id="rId36" Type="http://schemas.openxmlformats.org/officeDocument/2006/relationships/hyperlink" Target="https://checklist.ibcjapan.net/checklist?crypt=%5E%CF%DE%DE%A0%B6%DC%DB%93%CC%9F%D1%D6%87%9F%CF%AD%D8%D6%A1%9C%D1%D4s%9Ckfl%A2%9D%5C%D2%CF%DF%A7%D7%D0%ECu%C8%A0%D3%9C%D7%D8%D4%DA%A5%C9%A8%95%A6%CA%E2%A2%DD%D9%CF%CC%A9" TargetMode="External"/><Relationship Id="rId10" Type="http://schemas.openxmlformats.org/officeDocument/2006/relationships/hyperlink" Target="https://checklist.ibcjapan.net/checklist?crypt=%5E%CF%DE%DE%A0%B6%DC%DB%93%CC%9F%D1%D6%87%9F%CF%AD%D8%D6%A1%9C%D1%D4s%9Dbbc%A2%96%5C%D2%CF%DF%A7%D7%D0%ECu%C8%A0%D3%9C%D7%D8%D4%DA%A5%C9%A8%95%A6%CA%E2%A2%DD%D9%CF%CC%A9" TargetMode="External"/><Relationship Id="rId19" Type="http://schemas.openxmlformats.org/officeDocument/2006/relationships/hyperlink" Target="https://checklist.ibcjapan.net/checklist?crypt=%5E%CF%DE%DE%A0%B6%DC%DB%93%CC%9F%D1%D6%87%9F%CF%AD%D8%D6%A1%9C%D1%D4s%9Ckfl%A0%98%5C%D2%CF%DF%A7%D7%D0%ECu%C8%A0%D3%9C%D7%D8%D4%DA%A5%C9%A8%95%A6%CA%E2%A2%DD%D9%CF%CC%A9" TargetMode="External"/><Relationship Id="rId31" Type="http://schemas.openxmlformats.org/officeDocument/2006/relationships/hyperlink" Target="https://checklist.ibcjapan.net/checklist?crypt=%5E%CF%DE%DE%A0%B6%DC%DB%93%CC%9F%D1%D6%87%9F%CF%AD%D8%D6%A1%9C%D1%D4s%9Dckh%9D%96%5C%D2%CF%DF%A7%D7%D0%ECu%C8%A0%D3%9C%D7%D8%D4%DA%A5%C9%A8%95%A6%CA%E2%A2%DD%D9%CF%CC%A9" TargetMode="External"/><Relationship Id="rId4" Type="http://schemas.openxmlformats.org/officeDocument/2006/relationships/hyperlink" Target="https://checklist.ibcjapan.net/checklist?crypt=%5E%CF%DE%DE%A0%B6%DC%DB%93%CC%9F%D1%D6%87%9F%CF%AD%D8%D6%A1%9C%D1%D4s%9Ckfl%A1%9A%5C%D2%CF%DF%A7%D7%D0%ECu%C8%A0%D3%9C%D7%D8%D4%DA%A5%C9%A8%95%A6%CA%E2%A2%DD%D9%CF%CC%A9" TargetMode="External"/><Relationship Id="rId9" Type="http://schemas.openxmlformats.org/officeDocument/2006/relationships/hyperlink" Target="https://checklist.ibcjapan.net/checklist?crypt=%5E%CF%DE%DE%A0%B6%DC%DB%93%CC%9F%D1%D6%87%9F%CF%AD%D8%D6%A1%9C%D1%D4s%9Dbff%A2%96%5C%D2%CF%DF%A7%D7%D0%ECu%C8%A0%D3%9C%D7%D8%D4%DA%A5%C9%A8%95%A6%CA%E2%A2%DD%D9%CF%CC%A9" TargetMode="External"/><Relationship Id="rId14" Type="http://schemas.openxmlformats.org/officeDocument/2006/relationships/hyperlink" Target="https://checklist.ibcjapan.net/checklist?crypt=%5E%CF%DE%DE%A0%B6%DC%DB%93%CC%9F%D1%D6%87%9F%CF%AD%D8%D6%A1%9C%D1%D4s%9Dckh%9D%98%5C%D2%CF%DF%A7%D7%D0%ECu%C8%A0%D3%9C%D7%D8%D4%DA%A5%C9%A8%95%A6%CA%E2%A2%DD%D9%CF%CC%A9" TargetMode="External"/><Relationship Id="rId22" Type="http://schemas.openxmlformats.org/officeDocument/2006/relationships/hyperlink" Target="https://checklist.ibcjapan.net/checklist?crypt=%5E%CF%DE%DE%A0%B6%DC%DB%93%CC%9F%D1%D6%87%9F%CF%AD%D8%D6%A1%9C%D1%D4s%9Ckfl%9E%98%5C%D2%CF%DF%A7%D7%D0%ECu%C8%A0%D3%9C%D7%D8%D4%DA%A5%C9%A8%95%A6%CA%E2%A2%DD%D9%CF%CC%A9" TargetMode="External"/><Relationship Id="rId27" Type="http://schemas.openxmlformats.org/officeDocument/2006/relationships/hyperlink" Target="https://checklist.ibcjapan.net/checklist?crypt=%5E%CF%DE%DE%A0%B6%DC%DB%93%CC%9F%D1%D6%87%9F%CF%AD%D8%D6%A1%9C%D1%D4s%9Dbbc%A2%95%5C%D2%CF%DF%A7%D7%D0%ECu%C8%A0%D3%9C%D7%D8%D4%DA%A5%C9%A8%95%A6%CA%E2%A2%DD%D9%CF%CC%A9" TargetMode="External"/><Relationship Id="rId30" Type="http://schemas.openxmlformats.org/officeDocument/2006/relationships/hyperlink" Target="https://checklist.ibcjapan.net/checklist?crypt=%5E%CF%DE%DE%A0%B6%DC%DB%93%CC%9F%D1%D6%87%9F%CF%AD%D8%D6%A1%9C%D1%D4s%9Dckh%9D%94%5C%D2%CF%DF%A7%D7%D0%ECu%C8%A0%D3%9C%D7%D8%D4%DA%A5%C9%A8%95%A6%CA%E2%A2%DD%D9%CF%CC%A9" TargetMode="External"/><Relationship Id="rId35" Type="http://schemas.openxmlformats.org/officeDocument/2006/relationships/hyperlink" Target="https://checklist.ibcjapan.net/checklist?crypt=%5E%CF%DE%DE%A0%B6%DC%DB%93%CC%9F%D1%D6%87%9F%CF%AD%D8%D6%A1%9C%D1%D4s%9Dckh%9D%97%5C%D2%CF%DF%A7%D7%D0%ECu%C8%A0%D3%9C%D7%D8%D4%DA%A5%C9%A8%95%A6%CA%E2%A2%DD%D9%CF%CC%A9" TargetMode="External"/><Relationship Id="rId8" Type="http://schemas.openxmlformats.org/officeDocument/2006/relationships/hyperlink" Target="https://checklist.ibcjapan.net/checklist?crypt=%5E%CF%DE%DE%A0%B6%DC%DB%93%CC%9F%D1%D6%87%9F%CF%AD%D8%D6%A1%9C%D1%D4s%9Dbbd%A2%9A%5C%D2%CF%DF%A7%D7%D0%ECu%C8%A0%D3%9C%D7%D8%D4%DA%A5%C9%A8%95%A6%CA%E2%A2%DD%D9%CF%CC%A9" TargetMode="External"/><Relationship Id="rId3" Type="http://schemas.openxmlformats.org/officeDocument/2006/relationships/hyperlink" Target="https://checklist.ibcjapan.net/checklist?crypt=%5E%CF%DE%DE%A0%B6%DC%DB%93%CC%9F%D1%D6%87%9F%CF%AD%D8%D6%A1%9C%D1%D4s%9Dckh%9C%9D%5C%D2%CF%DF%A7%D7%D0%ECu%C8%A0%D3%9C%D7%D8%D4%DA%A5%C9%A8%95%A6%CA%E2%A2%DD%D9%CF%CC%A9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bcauto.com/vehicle/checklist?crypt=%5E%D2%D0%E5%98%E1%D1%CC%9E%C6%71%A0%9D%99%66%A2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1" Type="http://schemas.openxmlformats.org/officeDocument/2006/relationships/hyperlink" Target="https://www.ibcauto.com/vehicle/checklist?crypt=%5E%D2%D0%E5%98%E1%D1%CC%9E%C6%71%A0%9C%9A%6F%9B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2" Type="http://schemas.openxmlformats.org/officeDocument/2006/relationships/hyperlink" Target="https://www.ibcauto.com/vehicle/checklist?crypt=%5E%D2%D0%E5%98%E1%D1%CC%9E%C6%71%A0%9D%92%69%9B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3" Type="http://schemas.openxmlformats.org/officeDocument/2006/relationships/hyperlink" Target="https://www.ibcauto.com/vehicle/checklist?crypt=%5E%D2%D0%E5%98%E1%D1%CC%9E%C6%71%A0%9D%98%6E%A4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4" Type="http://schemas.openxmlformats.org/officeDocument/2006/relationships/hyperlink" Target="https://www.ibcauto.com/vehicle/checklist?crypt=%5E%D2%D0%E5%98%E1%D1%CC%9E%C6%71%A0%9D%93%69%9D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38" Type="http://schemas.openxmlformats.org/officeDocument/2006/relationships/hyperlink" Target="http://checklist.ibcjapan.net/checklist?crypt=%5E%D2%D0%E5%98%E1%D1%CC%9E%C6%71%A0%9D%93%67%A1%6D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59" Type="http://schemas.openxmlformats.org/officeDocument/2006/relationships/hyperlink" Target="https://www.ibcauto.com/vehicle/checklist?crypt=%5E%D2%D0%E5%98%E1%D1%CC%9E%C6%71%A0%98%91%69%9C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70" Type="http://schemas.openxmlformats.org/officeDocument/2006/relationships/hyperlink" Target="https://checklist.ibcjapan.net/checklist?crypt=%5E%CF%DE%DE%A0%B6%DC%DB%93%CC%9F%D1%D6%87%9F%CF%AD%D8%D6%A1%9C%D1%D4s%9Dbeh%9C%9D%5C%D2%CF%DF%A7%D7%D0%ECu%C8%A0%D3%9C%D7%D8%D4%DA%A5%C9%A8%95%A6%CA%E2%A2%DD%D9%CF%CC%A9" TargetMode="External"/><Relationship Id="rId191" Type="http://schemas.openxmlformats.org/officeDocument/2006/relationships/hyperlink" Target="http://checklist.ibcjapan.net/checklist?crypt=%5E%D2%D0%E5%98%E1%D1%CC%9E%C6%71%A1%94%99%6E%A3%6C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07" Type="http://schemas.openxmlformats.org/officeDocument/2006/relationships/hyperlink" Target="https://www.ibcauto.com/vehicle/checklist?crypt=%5E%D2%D0%E5%98%E1%D1%CC%9E%C6%71%A1%94%92%6B%9B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" Type="http://schemas.openxmlformats.org/officeDocument/2006/relationships/hyperlink" Target="https://www.ibcauto.com/vehicle/checklist?crypt=%5E%D2%D0%E5%98%E1%D1%CC%9E%C6%71%A0%97%92%6D%A0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2" Type="http://schemas.openxmlformats.org/officeDocument/2006/relationships/hyperlink" Target="https://www.ibcauto.com/vehicle/checklist?crypt=%5E%D2%D0%E5%98%E1%D1%CC%9E%C6%71%A0%9A%96%6C%9D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3" Type="http://schemas.openxmlformats.org/officeDocument/2006/relationships/hyperlink" Target="https://www.ibcauto.com/vehicle/checklist?crypt=%5E%D2%D0%E5%98%E1%D1%CC%9E%C6%71%A0%9B%96%6E%A1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4" Type="http://schemas.openxmlformats.org/officeDocument/2006/relationships/hyperlink" Target="https://www.ibcauto.com/vehicle/checklist?crypt=%5E%D2%D0%E5%98%E1%D1%CC%9E%C6%71%A0%9D%91%67%A2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28" Type="http://schemas.openxmlformats.org/officeDocument/2006/relationships/hyperlink" Target="http://checklist.ibcjapan.net/checklist?crypt=%5E%D2%D0%E5%98%E1%D1%CC%9E%C6%71%A1%94%95%6A%9E%6B%99%D7%9C%9C%DA%E2%AA%D7%9F%97%A5%A8%9C%6C%A4%98%9D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49" Type="http://schemas.openxmlformats.org/officeDocument/2006/relationships/hyperlink" Target="https://www.ibcauto.com/vehicle/checklist?crypt=%5E%D2%D0%E5%98%E1%D1%CC%9E%C6%71%9F%9A%94%69%9C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" Type="http://schemas.openxmlformats.org/officeDocument/2006/relationships/hyperlink" Target="https://www.ibcauto.com/vehicle/checklist?crypt=%5E%D2%D0%E5%98%E1%D1%CC%9E%C6%71%A0%97%9A%67%9C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5" Type="http://schemas.openxmlformats.org/officeDocument/2006/relationships/hyperlink" Target="https://www.ibcauto.com/vehicle/checklist?crypt=%5E%D2%D0%E5%98%E1%D1%CC%9E%C6%71%A1%94%91%6B%A2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60" Type="http://schemas.openxmlformats.org/officeDocument/2006/relationships/hyperlink" Target="https://www.ibcauto.com/vehicle/checklist?crypt=%5E%D2%D0%E5%98%E1%D1%CC%9E%C6%71%A0%98%92%66%9E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81" Type="http://schemas.openxmlformats.org/officeDocument/2006/relationships/hyperlink" Target="https://www.ibcauto.com/vehicle/checklist?crypt=%5E%D2%D0%E5%98%E1%D1%CC%9E%C6%71%A1%94%91%6D%9B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2" Type="http://schemas.openxmlformats.org/officeDocument/2006/relationships/hyperlink" Target="https://www.ibcauto.com/vehicle/checklist?crypt=%5E%D2%D0%E5%98%E1%D1%CC%9E%C6%71%A0%98%93%6F%9E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3" Type="http://schemas.openxmlformats.org/officeDocument/2006/relationships/hyperlink" Target="https://www.ibcauto.com/vehicle/checklist?crypt=%5E%D2%D0%E5%98%E1%D1%CC%9E%C6%71%A0%9D%93%6D%A1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4" Type="http://schemas.openxmlformats.org/officeDocument/2006/relationships/hyperlink" Target="https://www.ibcauto.com/vehicle/checklist?crypt=%5E%D2%D0%E5%98%E1%D1%CC%9E%C6%71%A0%9D%98%6E%A4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8" Type="http://schemas.openxmlformats.org/officeDocument/2006/relationships/hyperlink" Target="https://www.ibcauto.com/vehicle/checklist?crypt=%5E%D2%D0%E5%98%E1%D1%CC%9E%C6%71%A1%94%91%6B%9F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39" Type="http://schemas.openxmlformats.org/officeDocument/2006/relationships/hyperlink" Target="http://checklist.ibcjapan.net/checklist?crypt=%5E%D2%D0%E5%98%E1%D1%CC%9E%C6%71%A0%9D%93%67%A1%68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85" Type="http://schemas.openxmlformats.org/officeDocument/2006/relationships/hyperlink" Target="https://www.ibcauto.com/vehicle/checklist?crypt=%5E%D2%D0%E5%98%E1%D1%CC%9E%C6%71%A0%9D%94%6D%9E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50" Type="http://schemas.openxmlformats.org/officeDocument/2006/relationships/hyperlink" Target="https://www.ibcauto.com/vehicle/checklist?crypt=%5E%D2%D0%E5%98%E1%D1%CC%9E%C6%71%9F%94%93%6B%9E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71" Type="http://schemas.openxmlformats.org/officeDocument/2006/relationships/hyperlink" Target="https://checklist.ibcjapan.net/checklist?crypt=%5E%CF%DE%DE%A0%B6%DC%DB%93%CC%9F%D1%D6%87%9F%CF%AD%D8%D6%A1%9C%D1%D4s%9Dbbd%A2%9A%5C%D2%CF%DF%A7%D7%D0%ECu%C8%A0%D3%9C%D7%D8%D4%DA%A5%C9%A8%95%A6%CA%E2%A2%DD%D9%CF%CC%A9" TargetMode="External"/><Relationship Id="rId192" Type="http://schemas.openxmlformats.org/officeDocument/2006/relationships/hyperlink" Target="http://checklist.ibcjapan.net/checklist?crypt=%5E%D2%D0%E5%98%E1%D1%CC%9E%C6%71%A1%94%98%6B%A0%6F%99%D7%9C%9C%DA%E2%AA%D7%9F%97%A5%A8%9C%6D%A7%9E%9F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2" Type="http://schemas.openxmlformats.org/officeDocument/2006/relationships/hyperlink" Target="https://www.ibcauto.com/vehicle/checklist?crypt=%5E%D2%D0%E5%98%E1%D1%CC%9E%C6%71%A0%97%9A%6A%9F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3" Type="http://schemas.openxmlformats.org/officeDocument/2006/relationships/hyperlink" Target="https://www.ibcauto.com/vehicle/checklist?crypt=%5E%D2%D0%E5%98%E1%D1%CC%9E%C6%71%A0%9A%93%6F%9C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8" Type="http://schemas.openxmlformats.org/officeDocument/2006/relationships/hyperlink" Target="https://www.ibcauto.com/vehicle/checklist?crypt=%5E%D2%D0%E5%98%E1%D1%CC%9E%C6%71%A1%94%92%6F%9F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29" Type="http://schemas.openxmlformats.org/officeDocument/2006/relationships/hyperlink" Target="http://checklist.ibcjapan.net/checklist?crypt=%5E%D2%D0%E5%98%E1%D1%CC%9E%C6%71%A1%94%96%67%9F%6A%99%D7%9C%9C%DA%E2%AA%D7%9F%97%A5%A8%9C%6D%A2%9A%A4%68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54" Type="http://schemas.openxmlformats.org/officeDocument/2006/relationships/hyperlink" Target="https://www.ibcauto.com/vehicle/checklist?crypt=%5E%D2%D0%E5%98%E1%D1%CC%9E%C6%71%A0%9D%91%6B%9C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5" Type="http://schemas.openxmlformats.org/officeDocument/2006/relationships/hyperlink" Target="https://www.ibcauto.com/vehicle/checklist?crypt=%5E%D2%D0%E5%98%E1%D1%CC%9E%C6%71%A0%9D%98%6F%9B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6" Type="http://schemas.openxmlformats.org/officeDocument/2006/relationships/hyperlink" Target="https://www.ibcauto.com/vehicle/checklist?crypt=%5E%D2%D0%E5%98%E1%D1%CC%9E%C6%71%A1%94%92%6C%9E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40" Type="http://schemas.openxmlformats.org/officeDocument/2006/relationships/hyperlink" Target="http://checklist.ibcjapan.net/checklist?crypt=%5E%D2%D0%E5%98%E1%D1%CC%9E%C6%71%A0%9D%92%6D%9C%6E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61" Type="http://schemas.openxmlformats.org/officeDocument/2006/relationships/hyperlink" Target="https://www.ibcauto.com/vehicle/checklist?crypt=%5E%D2%D0%E5%98%E1%D1%CC%9E%C6%71%A0%98%93%69%9C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82" Type="http://schemas.openxmlformats.org/officeDocument/2006/relationships/hyperlink" Target="https://www.ibcauto.com/vehicle/checklist?crypt=%5E%D2%D0%E5%98%E1%D1%CC%9E%C6%71%A0%9C%9A%6E%A2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" Type="http://schemas.openxmlformats.org/officeDocument/2006/relationships/hyperlink" Target="https://www.ibcauto.com/vehicle/checklist?crypt=%5E%D2%D0%E5%98%E1%D1%CC%9E%C6%71%A0%97%9A%6D%9D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3" Type="http://schemas.openxmlformats.org/officeDocument/2006/relationships/hyperlink" Target="https://www.ibcauto.com/vehicle/checklist?crypt=%5E%D2%D0%E5%98%E1%D1%CC%9E%C6%71%A0%9C%93%66%A0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9" Type="http://schemas.openxmlformats.org/officeDocument/2006/relationships/hyperlink" Target="https://www.ibcauto.com/vehicle/checklist?crypt=%5E%D2%D0%E5%98%E1%D1%CC%9E%C6%71%A1%94%91%6D%9B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4" Type="http://schemas.openxmlformats.org/officeDocument/2006/relationships/hyperlink" Target="https://www.ibcauto.com/vehicle/checklist?crypt=%5E%D2%D0%E5%98%E1%D1%CC%9E%C6%71%A0%9C%93%6C%9B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5" Type="http://schemas.openxmlformats.org/officeDocument/2006/relationships/hyperlink" Target="https://www.ibcauto.com/vehicle/checklist?crypt=%5E%D2%D0%E5%98%E1%D1%CC%9E%C6%71%A1%94%91%6B%9E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6" Type="http://schemas.openxmlformats.org/officeDocument/2006/relationships/hyperlink" Target="https://www.ibcauto.com/vehicle/checklist?crypt=%5E%D2%D0%E5%98%E1%D1%CC%9E%C6%71%A0%9D%98%68%9F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30" Type="http://schemas.openxmlformats.org/officeDocument/2006/relationships/hyperlink" Target="http://checklist.ibcjapan.net/checklist?crypt=%5E%D2%D0%E5%98%E1%D1%CC%9E%C6%71%A1%94%95%6A%9B%67%99%D7%9C%9C%DA%E2%AA%D7%9F%97%A5%A8%9C%6C%A4%98%9D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51" Type="http://schemas.openxmlformats.org/officeDocument/2006/relationships/hyperlink" Target="https://www.ibcauto.com/vehicle/checklist?crypt=%5E%D2%D0%E5%98%E1%D1%CC%9E%C6%71%9F%94%97%67%9C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72" Type="http://schemas.openxmlformats.org/officeDocument/2006/relationships/hyperlink" Target="https://www.ibcauto.com/vehicle/checklist?crypt=%5E%D2%D0%E5%98%E1%D1%CC%9E%C6%71%A0%98%92%6F%A3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93" Type="http://schemas.openxmlformats.org/officeDocument/2006/relationships/hyperlink" Target="http://checklist.ibcjapan.net/checklist?crypt=%5E%D2%D0%E5%98%E1%D1%CC%9E%C6%71%A1%96%93%6E%9C%67%99%D7%9C%9C%DA%E2%AA%D7%9F%97%A5%A8%9C%6E%A0%99%A2%6C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3" Type="http://schemas.openxmlformats.org/officeDocument/2006/relationships/hyperlink" Target="https://www.ibcauto.com/vehicle/checklist?crypt=%5E%D2%D0%E5%98%E1%D1%CC%9E%C6%71%A0%97%9A%6E%A1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9" Type="http://schemas.openxmlformats.org/officeDocument/2006/relationships/hyperlink" Target="https://www.ibcauto.com/vehicle/checklist?crypt=%5E%D2%D0%E5%98%E1%D1%CC%9E%C6%71%A1%94%93%6D%9B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4" Type="http://schemas.openxmlformats.org/officeDocument/2006/relationships/hyperlink" Target="https://www.ibcauto.com/vehicle/checklist?crypt=%5E%D2%D0%E5%98%E1%D1%CC%9E%C6%71%A0%9C%96%6A%A1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5" Type="http://schemas.openxmlformats.org/officeDocument/2006/relationships/hyperlink" Target="https://www.ibcauto.com/vehicle/checklist?crypt=%5E%D2%D0%E5%98%E1%D1%CC%9E%C6%71%A0%9B%97%6C%9B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6" Type="http://schemas.openxmlformats.org/officeDocument/2006/relationships/hyperlink" Target="https://www.ibcauto.com/vehicle/checklist?crypt=%5E%D2%D0%E5%98%E1%D1%CC%9E%C6%71%A0%9C%98%68%A2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7" Type="http://schemas.openxmlformats.org/officeDocument/2006/relationships/hyperlink" Target="https://www.ibcauto.com/vehicle/checklist?crypt=%5E%D2%D0%E5%98%E1%D1%CC%9E%C6%71%A0%9D%95%6A%9F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20" Type="http://schemas.openxmlformats.org/officeDocument/2006/relationships/hyperlink" Target="https://www.ibcauto.com/vehicle/checklist?crypt=%5E%D2%D0%E5%98%E1%D1%CC%9E%C6%71%A1%94%92%69%9D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41" Type="http://schemas.openxmlformats.org/officeDocument/2006/relationships/hyperlink" Target="https://www.ibcauto.com/vehicle/checklist?crypt=%5E%D2%D0%E5%98%E1%D1%CC%9E%C6%71%9F%9C%94%6C%9E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" Type="http://schemas.openxmlformats.org/officeDocument/2006/relationships/hyperlink" Target="https://www.ibcauto.com/vehicle/checklist?crypt=%5E%D2%D0%E5%98%E1%D1%CC%9E%C6%71%A0%97%9A%6C%A3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1" Type="http://schemas.openxmlformats.org/officeDocument/2006/relationships/hyperlink" Target="https://www.ibcauto.com/vehicle/checklist?crypt=%5E%D2%D0%E5%98%E1%D1%CC%9E%C6%71%A1%94%92%66%A0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2" Type="http://schemas.openxmlformats.org/officeDocument/2006/relationships/hyperlink" Target="https://www.ibcauto.com/vehicle/checklist?crypt=%5E%D2%D0%E5%98%E1%D1%CC%9E%C6%71%A1%94%93%6B%9F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62" Type="http://schemas.openxmlformats.org/officeDocument/2006/relationships/hyperlink" Target="https://www.ibcauto.com/vehicle/checklist?crypt=%5E%D2%D0%E5%98%E1%D1%CC%9E%C6%71%A0%97%9A%67%9B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83" Type="http://schemas.openxmlformats.org/officeDocument/2006/relationships/hyperlink" Target="https://www.ibcauto.com/vehicle/checklist?crypt=%5E%D2%D0%E5%98%E1%D1%CC%9E%C6%71%A0%9D%99%66%A2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" Type="http://schemas.openxmlformats.org/officeDocument/2006/relationships/hyperlink" Target="https://www.ibcauto.com/vehicle/checklist?crypt=%5E%D2%D0%E5%98%E1%D1%CC%9E%C6%71%A0%95%93%6D%9B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9" Type="http://schemas.openxmlformats.org/officeDocument/2006/relationships/hyperlink" Target="https://www.ibcauto.com/vehicle/checklist?crypt=%5E%D2%D0%E5%98%E1%D1%CC%9E%C6%71%A0%9C%9A%6E%A2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4" Type="http://schemas.openxmlformats.org/officeDocument/2006/relationships/hyperlink" Target="https://www.ibcauto.com/vehicle/checklist?crypt=%5E%D2%D0%E5%98%E1%D1%CC%9E%C6%71%A0%9D%91%6E%A3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0" Type="http://schemas.openxmlformats.org/officeDocument/2006/relationships/hyperlink" Target="https://www.ibcauto.com/vehicle/checklist?crypt=%5E%D2%D0%E5%98%E1%D1%CC%9E%C6%71%A0%9B%98%6C%A4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5" Type="http://schemas.openxmlformats.org/officeDocument/2006/relationships/hyperlink" Target="https://www.ibcauto.com/vehicle/checklist?crypt=%5E%D2%D0%E5%98%E1%D1%CC%9E%C6%71%A0%9C%94%6D%9C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6" Type="http://schemas.openxmlformats.org/officeDocument/2006/relationships/hyperlink" Target="https://www.ibcauto.com/vehicle/checklist?crypt=%5E%D2%D0%E5%98%E1%D1%CC%9E%C6%71%A0%9B%94%6F%A3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7" Type="http://schemas.openxmlformats.org/officeDocument/2006/relationships/hyperlink" Target="https://www.ibcauto.com/vehicle/checklist?crypt=%5E%D2%D0%E5%98%E1%D1%CC%9E%C6%71%A1%94%92%6D%A4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0" Type="http://schemas.openxmlformats.org/officeDocument/2006/relationships/hyperlink" Target="https://www.ibcauto.com/vehicle/checklist?crypt=%5E%D2%D0%E5%98%E1%D1%CC%9E%C6%71%A1%94%92%6A%9F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5" Type="http://schemas.openxmlformats.org/officeDocument/2006/relationships/hyperlink" Target="https://www.ibcauto.com/vehicle/checklist?crypt=%5E%D2%D0%E5%98%E1%D1%CC%9E%C6%71%A0%9A%98%6E%A2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31" Type="http://schemas.openxmlformats.org/officeDocument/2006/relationships/hyperlink" Target="http://checklist.ibcjapan.net/checklist?crypt=%5E%D2%D0%E5%98%E1%D1%CC%9E%C6%71%A1%94%92%67%A2%69%99%D7%9C%9C%DA%E2%AA%D7%9F%97%A5%A8%9C%6C%A4%98%9D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36" Type="http://schemas.openxmlformats.org/officeDocument/2006/relationships/hyperlink" Target="http://checklist.ibcjapan.net/checklist?crypt=%5E%D2%D0%E5%98%E1%D1%CC%9E%C6%71%A0%9A%96%6A%9E%6A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57" Type="http://schemas.openxmlformats.org/officeDocument/2006/relationships/hyperlink" Target="https://www.ibcauto.com/vehicle/checklist?crypt=%5E%D2%D0%E5%98%E1%D1%CC%9E%C6%71%A0%95%92%67%9D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78" Type="http://schemas.openxmlformats.org/officeDocument/2006/relationships/hyperlink" Target="https://www.ibcauto.com/vehicle/checklist?crypt=%5E%D2%D0%E5%98%E1%D1%CC%9E%C6%71%A1%94%91%6B%A2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1" Type="http://schemas.openxmlformats.org/officeDocument/2006/relationships/hyperlink" Target="https://www.ibcauto.com/vehicle/checklist?crypt=%5E%D2%D0%E5%98%E1%D1%CC%9E%C6%71%A0%9B%97%67%9D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2" Type="http://schemas.openxmlformats.org/officeDocument/2006/relationships/hyperlink" Target="https://www.ibcauto.com/vehicle/checklist?crypt=%5E%D2%D0%E5%98%E1%D1%CC%9E%C6%71%A0%9D%93%6C%A0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52" Type="http://schemas.openxmlformats.org/officeDocument/2006/relationships/hyperlink" Target="https://www.ibcauto.com/vehicle/checklist?crypt=%5E%D2%D0%E5%98%E1%D1%CC%9E%C6%71%9F%96%95%6B%9E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73" Type="http://schemas.openxmlformats.org/officeDocument/2006/relationships/hyperlink" Target="https://www.ibcauto.com/vehicle/checklist?crypt=%5E%D2%D0%E5%98%E1%D1%CC%9E%C6%71%A0%9A%96%6C%9D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94" Type="http://schemas.openxmlformats.org/officeDocument/2006/relationships/hyperlink" Target="https://www.ibcauto.com/vehicle/checklist?crypt=%5E%D2%D0%E5%98%E1%D1%CC%9E%C6%71%A0%9D%93%67%A2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9" Type="http://schemas.openxmlformats.org/officeDocument/2006/relationships/hyperlink" Target="https://www.ibcauto.com/vehicle/checklist?crypt=%5E%D2%D0%E5%98%E1%D1%CC%9E%C6%71%A0%9D%91%6B%9B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4" Type="http://schemas.openxmlformats.org/officeDocument/2006/relationships/hyperlink" Target="https://www.ibcauto.com/vehicle/checklist?crypt=%5E%D2%D0%E5%98%E1%D1%CC%9E%C6%71%A0%98%91%6B%A0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0" Type="http://schemas.openxmlformats.org/officeDocument/2006/relationships/hyperlink" Target="https://www.ibcauto.com/vehicle/checklist?crypt=%5E%D2%D0%E5%98%E1%D1%CC%9E%C6%71%A0%98%94%66%A3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5" Type="http://schemas.openxmlformats.org/officeDocument/2006/relationships/hyperlink" Target="https://www.ibcauto.com/vehicle/checklist?crypt=%5E%D2%D0%E5%98%E1%D1%CC%9E%C6%71%A0%9B%99%67%A1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6" Type="http://schemas.openxmlformats.org/officeDocument/2006/relationships/hyperlink" Target="https://www.ibcauto.com/vehicle/checklist?crypt=%5E%D2%D0%E5%98%E1%D1%CC%9E%C6%71%A0%98%93%6B%A1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7" Type="http://schemas.openxmlformats.org/officeDocument/2006/relationships/hyperlink" Target="https://www.ibcauto.com/vehicle/checklist?crypt=%5E%D2%D0%E5%98%E1%D1%CC%9E%C6%71%A0%9D%9A%67%9E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0" Type="http://schemas.openxmlformats.org/officeDocument/2006/relationships/hyperlink" Target="https://www.ibcauto.com/vehicle/checklist?crypt=%5E%D2%D0%E5%98%E1%D1%CC%9E%C6%71%A1%94%92%67%A4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5" Type="http://schemas.openxmlformats.org/officeDocument/2006/relationships/hyperlink" Target="https://www.ibcauto.com/vehicle/checklist?crypt=%5E%D2%D0%E5%98%E1%D1%CC%9E%C6%71%A1%94%93%66%A3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26" Type="http://schemas.openxmlformats.org/officeDocument/2006/relationships/hyperlink" Target="http://checklist.ibcjapan.net/checklist?crypt=%5E%D2%D0%E5%98%E1%D1%CC%9E%C6%71%A1%94%92%6B%9E%6D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47" Type="http://schemas.openxmlformats.org/officeDocument/2006/relationships/hyperlink" Target="https://www.ibcauto.com/vehicle/checklist?crypt=%5E%D2%D0%E5%98%E1%D1%CC%9E%C6%71%9F%9D%97%6C%A4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68" Type="http://schemas.openxmlformats.org/officeDocument/2006/relationships/hyperlink" Target="http://checklist.ibcjapan.net/checklist?crypt=%5E%D2%D0%E5%98%E1%D1%CC%9E%C6%71%A1%94%95%6B%A4%6D%99%D7%9C%9C%DA%E2%AA%D7%9F%97%A5%A8%9C%6C%A4%98%9D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8" Type="http://schemas.openxmlformats.org/officeDocument/2006/relationships/hyperlink" Target="https://www.ibcauto.com/vehicle/checklist?crypt=%5E%D2%D0%E5%98%E1%D1%CC%9E%C6%71%A0%98%91%6A%A4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1" Type="http://schemas.openxmlformats.org/officeDocument/2006/relationships/hyperlink" Target="https://www.ibcauto.com/vehicle/checklist?crypt=%5E%D2%D0%E5%98%E1%D1%CC%9E%C6%71%A0%9B%98%6C%A4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2" Type="http://schemas.openxmlformats.org/officeDocument/2006/relationships/hyperlink" Target="https://www.ibcauto.com/vehicle/checklist?crypt=%5E%D2%D0%E5%98%E1%D1%CC%9E%C6%71%A1%94%92%69%9B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3" Type="http://schemas.openxmlformats.org/officeDocument/2006/relationships/hyperlink" Target="https://www.ibcauto.com/vehicle/checklist?crypt=%5E%D2%D0%E5%98%E1%D1%CC%9E%C6%71%A0%9D%98%68%A0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8" Type="http://schemas.openxmlformats.org/officeDocument/2006/relationships/hyperlink" Target="https://www.ibcauto.com/vehicle/checklist?crypt=%5E%D2%D0%E5%98%E1%D1%CC%9E%C6%71%A1%94%91%6B%A2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21" Type="http://schemas.openxmlformats.org/officeDocument/2006/relationships/hyperlink" Target="https://www.ibcauto.com/vehicle/checklist?crypt=%5E%D2%D0%E5%98%E1%D1%CC%9E%C6%71%A0%9D%93%67%A2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42" Type="http://schemas.openxmlformats.org/officeDocument/2006/relationships/hyperlink" Target="https://www.ibcauto.com/vehicle/checklist?crypt=%5E%D2%D0%E5%98%E1%D1%CC%9E%C6%71%9F%9C%96%6C%A3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63" Type="http://schemas.openxmlformats.org/officeDocument/2006/relationships/hyperlink" Target="https://www.ibcauto.com/vehicle/checklist?crypt=%5E%D2%D0%E5%98%E1%D1%CC%9E%C6%71%A0%9B%97%67%9F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84" Type="http://schemas.openxmlformats.org/officeDocument/2006/relationships/hyperlink" Target="https://www.ibcauto.com/vehicle/checklist?crypt=%5E%D2%D0%E5%98%E1%D1%CC%9E%C6%71%A0%9D%93%6A%9C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89" Type="http://schemas.openxmlformats.org/officeDocument/2006/relationships/hyperlink" Target="https://checklist.ibcjapan.net/checklist?crypt=%5E%CF%DE%DE%A0%B6%DC%DB%93%CC%9F%D1%D6%87%9F%CF%AD%D8%D6%A1%9C%D1%D4s%9Ckfl%A3%96%5C%D2%CF%DF%A7%D7%D0%ECu%C8%A0%D3%9C%D7%D8%D4%DA%A5%C9%A8%95%A6%CA%E2%A2%DD%D9%CF%CC%A9" TargetMode="External"/><Relationship Id="rId3" Type="http://schemas.openxmlformats.org/officeDocument/2006/relationships/hyperlink" Target="https://www.ibcauto.com/vehicle/checklist?crypt=%5E%D2%D0%E5%98%E1%D1%CC%9E%C6%71%A0%95%93%67%A3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5" Type="http://schemas.openxmlformats.org/officeDocument/2006/relationships/hyperlink" Target="https://www.ibcauto.com/vehicle/checklist?crypt=%5E%D2%D0%E5%98%E1%D1%CC%9E%C6%71%A0%9C%9A%6A%9F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6" Type="http://schemas.openxmlformats.org/officeDocument/2006/relationships/hyperlink" Target="https://www.ibcauto.com/vehicle/checklist?crypt=%5E%D2%D0%E5%98%E1%D1%CC%9E%C6%71%A0%9C%95%6B%9D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7" Type="http://schemas.openxmlformats.org/officeDocument/2006/relationships/hyperlink" Target="https://www.ibcauto.com/vehicle/checklist?crypt=%5E%D2%D0%E5%98%E1%D1%CC%9E%C6%71%A0%9D%99%6A%9D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6" Type="http://schemas.openxmlformats.org/officeDocument/2006/relationships/hyperlink" Target="https://www.ibcauto.com/vehicle/checklist?crypt=%5E%D2%D0%E5%98%E1%D1%CC%9E%C6%71%A0%9D%92%68%A4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37" Type="http://schemas.openxmlformats.org/officeDocument/2006/relationships/hyperlink" Target="http://checklist.ibcjapan.net/checklist?crypt=%5E%D2%D0%E5%98%E1%D1%CC%9E%C6%71%A0%98%94%69%9B%6E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58" Type="http://schemas.openxmlformats.org/officeDocument/2006/relationships/hyperlink" Target="https://www.ibcauto.com/vehicle/checklist?crypt=%5E%D2%D0%E5%98%E1%D1%CC%9E%C6%71%A0%98%91%66%9E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0" Type="http://schemas.openxmlformats.org/officeDocument/2006/relationships/hyperlink" Target="https://www.ibcauto.com/vehicle/checklist?crypt=%5E%D2%D0%E5%98%E1%D1%CC%9E%C6%71%A0%9C%92%6F%9C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1" Type="http://schemas.openxmlformats.org/officeDocument/2006/relationships/hyperlink" Target="https://www.ibcauto.com/vehicle/checklist?crypt=%5E%D2%D0%E5%98%E1%D1%CC%9E%C6%71%A0%98%97%6D%A1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2" Type="http://schemas.openxmlformats.org/officeDocument/2006/relationships/hyperlink" Target="https://www.ibcauto.com/vehicle/checklist?crypt=%5E%D2%D0%E5%98%E1%D1%CC%9E%C6%71%A0%9C%98%67%A2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3" Type="http://schemas.openxmlformats.org/officeDocument/2006/relationships/hyperlink" Target="https://www.ibcauto.com/vehicle/checklist?crypt=%5E%D2%D0%E5%98%E1%D1%CC%9E%C6%71%A0%97%99%6F%A4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8" Type="http://schemas.openxmlformats.org/officeDocument/2006/relationships/hyperlink" Target="https://www.ibcauto.com/vehicle/checklist?crypt=%5E%D2%D0%E5%98%E1%D1%CC%9E%C6%71%A1%94%95%69%A3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1" Type="http://schemas.openxmlformats.org/officeDocument/2006/relationships/hyperlink" Target="https://www.ibcauto.com/vehicle/checklist?crypt=%5E%D2%D0%E5%98%E1%D1%CC%9E%C6%71%A1%94%93%6C%A3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32" Type="http://schemas.openxmlformats.org/officeDocument/2006/relationships/hyperlink" Target="http://checklist.ibcjapan.net/checklist?crypt=%5E%D2%D0%E5%98%E1%D1%CC%9E%C6%71%A1%94%95%6A%9F%69%99%D7%9C%9C%DA%E2%AA%D7%9F%97%A5%A8%9C%6E%A0%96%A0%6C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53" Type="http://schemas.openxmlformats.org/officeDocument/2006/relationships/hyperlink" Target="https://www.ibcauto.com/vehicle/checklist?crypt=%5E%D2%D0%E5%98%E1%D1%CC%9E%C6%71%9F%97%94%69%A0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74" Type="http://schemas.openxmlformats.org/officeDocument/2006/relationships/hyperlink" Target="https://www.ibcauto.com/vehicle/checklist?crypt=%5E%D2%D0%E5%98%E1%D1%CC%9E%C6%71%A0%9B%98%68%9C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79" Type="http://schemas.openxmlformats.org/officeDocument/2006/relationships/hyperlink" Target="https://www.ibcauto.com/vehicle/checklist?crypt=%5E%D2%D0%E5%98%E1%D1%CC%9E%C6%71%A0%9B%98%6C%A4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95" Type="http://schemas.openxmlformats.org/officeDocument/2006/relationships/hyperlink" Target="https://apc01.safelinks.protection.outlook.com/?url=https%3A%2F%2Fwww.ibcauto.com%2Fvehicle%2Fchecklist%3Fcrypt%3D%255E%25D2%25D0%25E5%2598%25E1%25D1%25CC%259E%25C6q%25A0%2599%2593l%259D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D2%25EB%25D7%259F%2599%25DF%25A7%25CA%25A1%25CE%259C%25CF%25A4%25D3%25D4%25EB%25AF%257D%25C1%25C2%25EC%25CB%25E8%25A0%25DB%25CF%25E4%25D4%25C6%259E%25E9%255C%2597%25A1%25CF%25DC%25DE%25DA%25A1%25E6%259A%25D4%2596%25AB%259D%25A1%25D1%25D0%25E5v%2591%255E%25D8%25D8%25CE%25A7%25E6%25B6%25AC%2599%25EC%255C%25A9%25E6%25A8%25DA%25B8%2598%25A2%259F%25AA%25ED%25AB%2586%25E8%25EA%25CB&amp;data=05%7C01%7CGKeatley%40ibcauto.com%7C00dc02846d8e4acf214808daad483d0e%7Cd487dbeeb3df4578a1be2d368870f520%7C0%7C0%7C638012823057467719%7CUnknown%7CTWFpbGZsb3d8eyJWIjoiMC4wLjAwMDAiLCJQIjoiV2luMzIiLCJBTiI6Ik1haWwiLCJXVCI6Mn0%3D%7C3000%7C%7C%7C&amp;sdata=lrEXfuTkBBnyW2dypN9Gb2vZg5xQAyZxkL%2FA8dE1Kp0%3D&amp;reserved=0" TargetMode="External"/><Relationship Id="rId190" Type="http://schemas.openxmlformats.org/officeDocument/2006/relationships/hyperlink" Target="http://checklist.ibcjapan.net/checklist?crypt=%5E%D2%D0%E5%98%E1%D1%CC%9E%C6%71%A1%94%95%6B%A4%6D%99%D7%9C%9C%DA%E2%AA%D7%9F%97%A5%A8%9C%6C%A4%98%9D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5" Type="http://schemas.openxmlformats.org/officeDocument/2006/relationships/hyperlink" Target="https://www.ibcauto.com/vehicle/checklist?crypt=%5E%D2%D0%E5%98%E1%D1%CC%9E%C6%71%A0%98%92%6B%A2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6" Type="http://schemas.openxmlformats.org/officeDocument/2006/relationships/hyperlink" Target="https://www.ibcauto.com/vehicle/checklist?crypt=%5E%D2%D0%E5%98%E1%D1%CC%9E%C6%71%A0%9D%92%6F%A4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7" Type="http://schemas.openxmlformats.org/officeDocument/2006/relationships/hyperlink" Target="https://www.ibcauto.com/vehicle/checklist?crypt=%5E%D2%D0%E5%98%E1%D1%CC%9E%C6%71%A0%9D%98%6D%9F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6" Type="http://schemas.openxmlformats.org/officeDocument/2006/relationships/hyperlink" Target="https://www.ibcauto.com/vehicle/checklist?crypt=%5E%D2%D0%E5%98%E1%D1%CC%9E%C6%71%A1%94%92%6F%9C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27" Type="http://schemas.openxmlformats.org/officeDocument/2006/relationships/hyperlink" Target="http://checklist.ibcjapan.net/checklist?crypt=%5E%D2%D0%E5%98%E1%D1%CC%9E%C6%71%A1%94%96%6D%9F%6A%99%D7%9C%9C%DA%E2%AA%D7%9F%97%A5%A8%9C%6C%A4%98%9D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0" Type="http://schemas.openxmlformats.org/officeDocument/2006/relationships/hyperlink" Target="https://www.ibcauto.com/vehicle/checklist?crypt=%5E%D2%D0%E5%98%E1%D1%CC%9E%C6%71%9F%9D%96%6F%A4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1" Type="http://schemas.openxmlformats.org/officeDocument/2006/relationships/hyperlink" Target="https://www.ibcauto.com/vehicle/checklist?crypt=%5E%D2%D0%E5%98%E1%D1%CC%9E%C6%71%A0%98%92%6F%A3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2" Type="http://schemas.openxmlformats.org/officeDocument/2006/relationships/hyperlink" Target="https://www.ibcauto.com/vehicle/checklist?crypt=%5E%D2%D0%E5%98%E1%D1%CC%9E%C6%71%A0%9D%91%67%A2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3" Type="http://schemas.openxmlformats.org/officeDocument/2006/relationships/hyperlink" Target="https://www.ibcauto.com/vehicle/checklist?crypt=%5E%D2%D0%E5%98%E1%D1%CC%9E%C6%71%A0%9D%92%67%A3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8" Type="http://schemas.openxmlformats.org/officeDocument/2006/relationships/hyperlink" Target="https://www.ibcauto.com/vehicle/checklist?crypt=%5E%D2%D0%E5%98%E1%D1%CC%9E%C6%71%A0%9C%95%68%9C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4" Type="http://schemas.openxmlformats.org/officeDocument/2006/relationships/hyperlink" Target="https://www.ibcauto.com/vehicle/checklist?crypt=%5E%D2%D0%E5%98%E1%D1%CC%9E%C6%71%A0%9D%9A%6A%A2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9" Type="http://schemas.openxmlformats.org/officeDocument/2006/relationships/hyperlink" Target="https://www.ibcauto.com/vehicle/checklist?crypt=%5E%D2%D0%E5%98%E1%D1%CC%9E%C6%71%A0%9D%93%6A%9C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1" Type="http://schemas.openxmlformats.org/officeDocument/2006/relationships/hyperlink" Target="https://www.ibcauto.com/vehicle/checklist?crypt=%5E%D2%D0%E5%98%E1%D1%CC%9E%C6%71%A1%94%92%67%A3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22" Type="http://schemas.openxmlformats.org/officeDocument/2006/relationships/hyperlink" Target="https://www.ibcauto.com/vehicle/checklist?crypt=%5E%D2%D0%E5%98%E1%D1%CC%9E%C6%71%A0%9D%99%68%A2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43" Type="http://schemas.openxmlformats.org/officeDocument/2006/relationships/hyperlink" Target="https://www.ibcauto.com/vehicle/checklist?crypt=%5E%D2%D0%E5%98%E1%D1%CC%9E%C6%71%9F%9D%99%69%A2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48" Type="http://schemas.openxmlformats.org/officeDocument/2006/relationships/hyperlink" Target="https://www.ibcauto.com/vehicle/checklist?crypt=%5E%D2%D0%E5%98%E1%D1%CC%9E%C6%71%9F%9C%95%6C%9F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64" Type="http://schemas.openxmlformats.org/officeDocument/2006/relationships/hyperlink" Target="https://checklist.ibcjapan.net/checklist?crypt=%5E%CF%DE%DE%A0%B6%DC%DB%93%CC%9F%D1%D6%87%9F%CF%AD%D8%D6%A1%9C%D1%D4s%9Ckgg%A0%97%5C%D2%CF%DF%A7%D7%D0%ECu%C8%A0%D3%9C%D7%D8%D4%DA%A5%C9%A8%95%A6%CA%E2%A2%DD%D9%CF%CC%A9" TargetMode="External"/><Relationship Id="rId169" Type="http://schemas.openxmlformats.org/officeDocument/2006/relationships/hyperlink" Target="https://checklist.ibcjapan.net/checklist?crypt=%5E%CF%DE%DE%A0%B6%DC%DB%93%CC%9F%D1%D6%87%9F%CF%AD%D8%D6%A1%9C%D1%D4s%9Ckfl%9E%98%5C%D2%CF%DF%A7%D7%D0%ECu%C8%A0%D3%9C%D7%D8%D4%DA%A5%C9%A8%95%A6%CA%E2%A2%DD%D9%CF%CC%A9" TargetMode="External"/><Relationship Id="rId185" Type="http://schemas.openxmlformats.org/officeDocument/2006/relationships/hyperlink" Target="http://checklist.ibcjapan.net/checklist?crypt=%5E%D2%D0%E5%98%E1%D1%CC%9E%C6%71%A1%94%95%6A%9E%6B%99%D7%9C%9C%DA%E2%AA%D7%9F%97%A5%A8%9C%6C%A4%98%9D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4" Type="http://schemas.openxmlformats.org/officeDocument/2006/relationships/hyperlink" Target="https://www.ibcauto.com/vehicle/checklist?crypt=%5E%D2%D0%E5%98%E1%D1%CC%9E%C6%71%A0%97%99%6E%A0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" Type="http://schemas.openxmlformats.org/officeDocument/2006/relationships/hyperlink" Target="https://www.ibcauto.com/vehicle/checklist?crypt=%5E%D2%D0%E5%98%E1%D1%CC%9E%C6%71%A0%97%9A%6E%9F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80" Type="http://schemas.openxmlformats.org/officeDocument/2006/relationships/hyperlink" Target="https://www.ibcauto.com/vehicle/checklist?crypt=%5E%D2%D0%E5%98%E1%D1%CC%9E%C6%71%A1%94%93%6C%A3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6" Type="http://schemas.openxmlformats.org/officeDocument/2006/relationships/hyperlink" Target="https://www.ibcauto.com/vehicle/checklist?crypt=%5E%D2%D0%E5%98%E1%D1%CC%9E%C6%71%A0%98%91%6B%A1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7" Type="http://schemas.openxmlformats.org/officeDocument/2006/relationships/hyperlink" Target="https://www.ibcauto.com/vehicle/checklist?crypt=%5E%D2%D0%E5%98%E1%D1%CC%9E%C6%71%A0%9D%92%6F%A4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8" Type="http://schemas.openxmlformats.org/officeDocument/2006/relationships/hyperlink" Target="https://www.ibcauto.com/vehicle/checklist?crypt=%5E%D2%D0%E5%98%E1%D1%CC%9E%C6%71%A0%9D%98%68%A0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9" Type="http://schemas.openxmlformats.org/officeDocument/2006/relationships/hyperlink" Target="https://www.ibcauto.com/vehicle/checklist?crypt=%5E%D2%D0%E5%98%E1%D1%CC%9E%C6%71%9F%9B%92%6D%A2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2" Type="http://schemas.openxmlformats.org/officeDocument/2006/relationships/hyperlink" Target="https://www.ibcauto.com/vehicle/checklist?crypt=%5E%D2%D0%E5%98%E1%D1%CC%9E%C6%71%A1%94%92%67%A3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33" Type="http://schemas.openxmlformats.org/officeDocument/2006/relationships/hyperlink" Target="http://checklist.ibcjapan.net/checklist?crypt=%5E%D2%D0%E5%98%E1%D1%CC%9E%C6%71%A0%98%94%66%9E%6E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54" Type="http://schemas.openxmlformats.org/officeDocument/2006/relationships/hyperlink" Target="https://www.ibcauto.com/vehicle/checklist?crypt=%5E%D2%D0%E5%98%E1%D1%CC%9E%C6%71%9F%9C%93%68%A1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75" Type="http://schemas.openxmlformats.org/officeDocument/2006/relationships/hyperlink" Target="https://www.ibcauto.com/vehicle/checklist?crypt=%5E%D2%D0%E5%98%E1%D1%CC%9E%C6%71%A0%9B%98%6C%A4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96" Type="http://schemas.openxmlformats.org/officeDocument/2006/relationships/hyperlink" Target="https://www.ibcauto.com/vehicle/checklist?crypt=%5E%D2%D0%E5%98%E1%D1%CC%9E%C6%71%A0%95%93%67%A3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6" Type="http://schemas.openxmlformats.org/officeDocument/2006/relationships/hyperlink" Target="https://www.ibcauto.com/vehicle/checklist?crypt=%5E%D2%D0%E5%98%E1%D1%CC%9E%C6%71%A0%98%91%6F%A2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7" Type="http://schemas.openxmlformats.org/officeDocument/2006/relationships/hyperlink" Target="https://www.ibcauto.com/vehicle/checklist?crypt=%5E%D2%D0%E5%98%E1%D1%CC%9E%C6%71%A0%98%94%6A%A0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8" Type="http://schemas.openxmlformats.org/officeDocument/2006/relationships/hyperlink" Target="https://www.ibcauto.com/vehicle/checklist?crypt=%5E%D2%D0%E5%98%E1%D1%CC%9E%C6%71%A0%9D%94%6B%A3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9" Type="http://schemas.openxmlformats.org/officeDocument/2006/relationships/hyperlink" Target="https://www.ibcauto.com/vehicle/checklist?crypt=%5E%D2%D0%E5%98%E1%D1%CC%9E%C6%71%A0%9C%94%6B%9B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2" Type="http://schemas.openxmlformats.org/officeDocument/2006/relationships/hyperlink" Target="https://www.ibcauto.com/vehicle/checklist?crypt=%5E%D2%D0%E5%98%E1%D1%CC%9E%C6%71%A1%94%92%6F%9B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23" Type="http://schemas.openxmlformats.org/officeDocument/2006/relationships/hyperlink" Target="https://www.ibcauto.com/vehicle/checklist?crypt=%5E%D2%D0%E5%98%E1%D1%CC%9E%C6%71%A0%98%93%6D%A1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44" Type="http://schemas.openxmlformats.org/officeDocument/2006/relationships/hyperlink" Target="https://www.ibcauto.com/vehicle/checklist?crypt=%5E%D2%D0%E5%98%E1%D1%CC%9E%C6%71%9F%9D%97%6E%A1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0" Type="http://schemas.openxmlformats.org/officeDocument/2006/relationships/hyperlink" Target="https://www.ibcauto.com/vehicle/checklist?crypt=%5E%D2%D0%E5%98%E1%D1%CC%9E%C6%71%A0%9B%99%66%9B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65" Type="http://schemas.openxmlformats.org/officeDocument/2006/relationships/hyperlink" Target="https://checklist.ibcjapan.net/checklist?crypt=%5E%CF%DE%DE%A0%B6%DC%DB%93%CC%9F%D1%D6%87%9F%CF%AD%D8%D6%A1%9C%D1%D4s%9Ckfl%9E%95%5C%D2%CF%DF%A7%D7%D0%ECu%C8%A0%D3%9C%D7%D8%D4%DA%A5%C9%A8%95%A6%CA%E2%A2%DD%D9%CF%CC%A9" TargetMode="External"/><Relationship Id="rId186" Type="http://schemas.openxmlformats.org/officeDocument/2006/relationships/hyperlink" Target="http://checklist.ibcjapan.net/checklist?crypt=%5E%D2%D0%E5%98%E1%D1%CC%9E%C6%71%A1%94%95%6A%9B%67%99%D7%9C%9C%DA%E2%AA%D7%9F%97%A5%A8%9C%6C%A4%98%9D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27" Type="http://schemas.openxmlformats.org/officeDocument/2006/relationships/hyperlink" Target="https://www.ibcauto.com/vehicle/checklist?crypt=%5E%D2%D0%E5%98%E1%D1%CC%9E%C6%71%A0%9D%91%6E%A4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8" Type="http://schemas.openxmlformats.org/officeDocument/2006/relationships/hyperlink" Target="https://www.ibcauto.com/vehicle/checklist?crypt=%5E%D2%D0%E5%98%E1%D1%CC%9E%C6%71%A0%99%93%6C%9D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9" Type="http://schemas.openxmlformats.org/officeDocument/2006/relationships/hyperlink" Target="https://www.ibcauto.com/vehicle/checklist?crypt=%5E%D2%D0%E5%98%E1%D1%CC%9E%C6%71%A0%9D%99%6B%9E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3" Type="http://schemas.openxmlformats.org/officeDocument/2006/relationships/hyperlink" Target="https://www.ibcauto.com/vehicle/checklist?crypt=%5E%D2%D0%E5%98%E1%D1%CC%9E%C6%71%A1%94%93%6D%A4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34" Type="http://schemas.openxmlformats.org/officeDocument/2006/relationships/hyperlink" Target="http://checklist.ibcjapan.net/checklist?crypt=%5E%D2%D0%E5%98%E1%D1%CC%9E%C6%71%A1%94%96%6D%9F%6B%99%D7%9C%9C%DA%E2%AA%D7%9F%97%A5%A8%9C%6D%A2%9A%A4%68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80" Type="http://schemas.openxmlformats.org/officeDocument/2006/relationships/hyperlink" Target="https://www.ibcauto.com/vehicle/checklist?crypt=%5E%D2%D0%E5%98%E1%D1%CC%9E%C6%71%A0%9C%96%69%A4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55" Type="http://schemas.openxmlformats.org/officeDocument/2006/relationships/hyperlink" Target="https://www.ibcauto.com/vehicle/checklist?crypt=%5E%D2%D0%E5%98%E1%D1%CC%9E%C6%71%9F%9C%91%6F%9B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76" Type="http://schemas.openxmlformats.org/officeDocument/2006/relationships/hyperlink" Target="https://www.ibcauto.com/vehicle/checklist?crypt=%5E%D2%D0%E5%98%E1%D1%CC%9E%C6%71%A0%9C%98%68%A2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97" Type="http://schemas.openxmlformats.org/officeDocument/2006/relationships/hyperlink" Target="http://checklist.ibcjapan.net/checklist?crypt=%5E%D2%D0%E5%98%E1%D1%CC%9E%C6%71%A1%94%93%6A%A0%6F%99%D7%9C%9C%DA%E2%AA%D7%9F%97%A5%A8%9C%6C%A4%98%9D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7" Type="http://schemas.openxmlformats.org/officeDocument/2006/relationships/hyperlink" Target="https://www.ibcauto.com/vehicle/checklist?crypt=%5E%D2%D0%E5%98%E1%D1%CC%9E%C6%71%A0%98%92%69%A3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8" Type="http://schemas.openxmlformats.org/officeDocument/2006/relationships/hyperlink" Target="https://www.ibcauto.com/vehicle/checklist?crypt=%5E%D2%D0%E5%98%E1%D1%CC%9E%C6%71%A0%9D%91%6B%A4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9" Type="http://schemas.openxmlformats.org/officeDocument/2006/relationships/hyperlink" Target="https://www.ibcauto.com/vehicle/checklist?crypt=%5E%D2%D0%E5%98%E1%D1%CC%9E%C6%71%A0%9A%93%6E%A2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3" Type="http://schemas.openxmlformats.org/officeDocument/2006/relationships/hyperlink" Target="https://www.ibcauto.com/vehicle/checklist?crypt=%5E%D2%D0%E5%98%E1%D1%CC%9E%C6%71%A1%94%93%6D%9F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24" Type="http://schemas.openxmlformats.org/officeDocument/2006/relationships/hyperlink" Target="http://checklist.ibcjapan.net/checklist?crypt=%5E%D2%D0%E5%98%E1%D1%CC%9E%C6%71%A1%94%95%6D%A4%6F%99%D7%9C%9C%DA%E2%AA%D7%9F%97%A5%A8%9C%6D%A2%9A%A4%68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70" Type="http://schemas.openxmlformats.org/officeDocument/2006/relationships/hyperlink" Target="https://www.ibcauto.com/vehicle/checklist?crypt=%5E%D2%D0%E5%98%E1%D1%CC%9E%C6%71%A1%94%92%6E%9B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91" Type="http://schemas.openxmlformats.org/officeDocument/2006/relationships/hyperlink" Target="https://www.ibcauto.com/vehicle/checklist?crypt=%5E%D2%D0%E5%98%E1%D1%CC%9E%C6%71%A0%9D%9A%6D%A1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45" Type="http://schemas.openxmlformats.org/officeDocument/2006/relationships/hyperlink" Target="https://www.ibcauto.com/vehicle/checklist?crypt=%5E%D2%D0%E5%98%E1%D1%CC%9E%C6%71%9F%9D%95%6E%9D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66" Type="http://schemas.openxmlformats.org/officeDocument/2006/relationships/hyperlink" Target="https://checklist.ibcjapan.net/checklist?crypt=%5E%CF%DE%DE%A0%B6%DC%DB%93%CC%9F%D1%D6%87%9F%CF%AD%D8%D6%A1%9C%D1%D4s%9Ckfl%9F%9B%5C%D2%CF%DF%A7%D7%D0%ECu%C8%A0%D3%9C%D7%D8%D4%DA%A5%C9%A8%95%A6%CA%E2%A2%DD%D9%CF%CC%A9" TargetMode="External"/><Relationship Id="rId187" Type="http://schemas.openxmlformats.org/officeDocument/2006/relationships/hyperlink" Target="http://checklist.ibcjapan.net/checklist?crypt=%5E%D2%D0%E5%98%E1%D1%CC%9E%C6%71%A1%94%91%6F%9E%70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" Type="http://schemas.openxmlformats.org/officeDocument/2006/relationships/hyperlink" Target="https://www.ibcauto.com/vehicle/checklist?crypt=%5E%D2%D0%E5%98%E1%D1%CC%9E%C6%71%A0%95%93%6A%A3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8" Type="http://schemas.openxmlformats.org/officeDocument/2006/relationships/hyperlink" Target="https://www.ibcauto.com/vehicle/checklist?crypt=%5E%D2%D0%E5%98%E1%D1%CC%9E%C6%71%A0%98%92%6A%9F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9" Type="http://schemas.openxmlformats.org/officeDocument/2006/relationships/hyperlink" Target="https://www.ibcauto.com/vehicle/checklist?crypt=%5E%D2%D0%E5%98%E1%D1%CC%9E%C6%71%A0%98%92%67%9D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14" Type="http://schemas.openxmlformats.org/officeDocument/2006/relationships/hyperlink" Target="https://www.ibcauto.com/vehicle/checklist?crypt=%5E%D2%D0%E5%98%E1%D1%CC%9E%C6%71%A1%94%91%6E%A2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0" Type="http://schemas.openxmlformats.org/officeDocument/2006/relationships/hyperlink" Target="https://www.ibcauto.com/vehicle/checklist?crypt=%5E%D2%D0%E5%98%E1%D1%CC%9E%C6%71%A0%99%98%66%9E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1" Type="http://schemas.openxmlformats.org/officeDocument/2006/relationships/hyperlink" Target="https://www.ibcauto.com/vehicle/checklist?crypt=%5E%D2%D0%E5%98%E1%D1%CC%9E%C6%71%A1%94%91%66%A1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35" Type="http://schemas.openxmlformats.org/officeDocument/2006/relationships/hyperlink" Target="http://checklist.ibcjapan.net/checklist?crypt=%5E%D2%D0%E5%98%E1%D1%CC%9E%C6%71%A0%98%94%6F%A0%69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56" Type="http://schemas.openxmlformats.org/officeDocument/2006/relationships/hyperlink" Target="https://www.ibcauto.com/vehicle/checklist?crypt=%5E%D2%D0%E5%98%E1%D1%CC%9E%C6%71%9F%98%94%69%9C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77" Type="http://schemas.openxmlformats.org/officeDocument/2006/relationships/hyperlink" Target="https://www.ibcauto.com/vehicle/checklist?crypt=%5E%D2%D0%E5%98%E1%D1%CC%9E%C6%71%A1%94%95%69%A3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98" Type="http://schemas.openxmlformats.org/officeDocument/2006/relationships/printerSettings" Target="../printerSettings/printerSettings5.bin"/><Relationship Id="rId18" Type="http://schemas.openxmlformats.org/officeDocument/2006/relationships/hyperlink" Target="https://www.ibcauto.com/vehicle/checklist?crypt=%5E%D2%D0%E5%98%E1%D1%CC%9E%C6%71%A0%9A%97%6B%9F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9" Type="http://schemas.openxmlformats.org/officeDocument/2006/relationships/hyperlink" Target="https://www.ibcauto.com/vehicle/checklist?crypt=%5E%D2%D0%E5%98%E1%D1%CC%9E%C6%71%A0%9B%98%68%9C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0" Type="http://schemas.openxmlformats.org/officeDocument/2006/relationships/hyperlink" Target="https://www.ibcauto.com/vehicle/checklist?crypt=%5E%D2%D0%E5%98%E1%D1%CC%9E%C6%71%A0%9C%9A%69%A1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4" Type="http://schemas.openxmlformats.org/officeDocument/2006/relationships/hyperlink" Target="https://www.ibcauto.com/vehicle/checklist?crypt=%5E%D2%D0%E5%98%E1%D1%CC%9E%C6%71%A1%94%92%6E%A0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25" Type="http://schemas.openxmlformats.org/officeDocument/2006/relationships/hyperlink" Target="http://checklist.ibcjapan.net/checklist?crypt=%5E%D2%D0%E5%98%E1%D1%CC%9E%C6%71%A1%94%93%67%9D%6A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46" Type="http://schemas.openxmlformats.org/officeDocument/2006/relationships/hyperlink" Target="https://www.ibcauto.com/vehicle/checklist?crypt=%5E%D2%D0%E5%98%E1%D1%CC%9E%C6%71%9F%9D%96%6D%9E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67" Type="http://schemas.openxmlformats.org/officeDocument/2006/relationships/hyperlink" Target="http://checklist.ibcjapan.net/checklist?crypt=%5E%D2%D0%E5%98%E1%D1%CC%9E%C6%71%A0%9C%97%6A%A0%6C%99%D7%9C%9C%DA%E2%AA%D7%9F%97%A5%A8%97%68%9E%9F%A5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TargetMode="External"/><Relationship Id="rId188" Type="http://schemas.openxmlformats.org/officeDocument/2006/relationships/hyperlink" Target="https://checklist.ibcjapan.net/checklist?crypt=%5E%CF%DE%DE%A0%B6%DC%DB%93%CC%9F%D1%D6%87%9F%CF%AD%D8%D6%A1%9C%D1%D4s%9Ckfl%9E%95%5C%D2%CF%DF%A7%D7%D0%ECu%C8%A0%D3%9C%D7%D8%D4%DA%A5%C9%A8%95%A6%CA%E2%A2%DD%D9%CF%CC%A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18DA5-444F-498E-A87C-1AE7AAED1AD7}">
  <dimension ref="A1:S896"/>
  <sheetViews>
    <sheetView topLeftCell="E1" workbookViewId="0">
      <pane ySplit="1" topLeftCell="A2" activePane="bottomLeft" state="frozen"/>
      <selection pane="bottomLeft" activeCell="M59" sqref="M59"/>
    </sheetView>
  </sheetViews>
  <sheetFormatPr defaultColWidth="14.44140625" defaultRowHeight="14.4" x14ac:dyDescent="0.3"/>
  <cols>
    <col min="1" max="1" width="27.109375" bestFit="1" customWidth="1"/>
    <col min="2" max="2" width="10.5546875" bestFit="1" customWidth="1"/>
    <col min="3" max="3" width="21.44140625" bestFit="1" customWidth="1"/>
    <col min="4" max="4" width="12.109375" customWidth="1"/>
    <col min="5" max="5" width="11.77734375" customWidth="1"/>
    <col min="6" max="6" width="9.6640625" bestFit="1" customWidth="1"/>
    <col min="7" max="7" width="5.21875" bestFit="1" customWidth="1"/>
    <col min="8" max="8" width="15.77734375" bestFit="1" customWidth="1"/>
    <col min="9" max="9" width="23.77734375" bestFit="1" customWidth="1"/>
    <col min="10" max="10" width="20.33203125" bestFit="1" customWidth="1"/>
    <col min="11" max="11" width="16.44140625" bestFit="1" customWidth="1"/>
    <col min="12" max="12" width="19.109375" bestFit="1" customWidth="1"/>
    <col min="13" max="13" width="11.33203125" customWidth="1"/>
    <col min="14" max="14" width="15" bestFit="1" customWidth="1"/>
    <col min="15" max="15" width="13.44140625" bestFit="1" customWidth="1"/>
    <col min="16" max="16" width="13.77734375" bestFit="1" customWidth="1"/>
    <col min="17" max="17" width="20.6640625" bestFit="1" customWidth="1"/>
    <col min="18" max="18" width="61.77734375" bestFit="1" customWidth="1"/>
    <col min="19" max="29" width="8.6640625" customWidth="1"/>
  </cols>
  <sheetData>
    <row r="1" spans="1:19" x14ac:dyDescent="0.3">
      <c r="A1" s="1" t="s">
        <v>0</v>
      </c>
      <c r="B1" s="1" t="s">
        <v>1461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3" t="s">
        <v>7</v>
      </c>
      <c r="J1" s="2" t="s">
        <v>8</v>
      </c>
      <c r="K1" s="2" t="s">
        <v>1172</v>
      </c>
      <c r="L1" s="2" t="s">
        <v>9</v>
      </c>
      <c r="M1" s="3" t="s">
        <v>10</v>
      </c>
      <c r="N1" s="2" t="s">
        <v>11</v>
      </c>
      <c r="O1" s="2" t="s">
        <v>1271</v>
      </c>
      <c r="P1" s="2" t="s">
        <v>1270</v>
      </c>
      <c r="Q1" s="4" t="s">
        <v>12</v>
      </c>
      <c r="R1" s="2" t="s">
        <v>13</v>
      </c>
    </row>
    <row r="2" spans="1:19" x14ac:dyDescent="0.3">
      <c r="A2" s="37" t="s">
        <v>105</v>
      </c>
      <c r="B2" s="37" t="s">
        <v>1470</v>
      </c>
      <c r="C2" s="37" t="s">
        <v>1369</v>
      </c>
      <c r="D2" s="249"/>
      <c r="E2" s="249"/>
      <c r="G2" s="37" t="s">
        <v>508</v>
      </c>
      <c r="H2" s="37" t="s">
        <v>123</v>
      </c>
      <c r="I2" s="37" t="s">
        <v>1370</v>
      </c>
      <c r="J2" s="11">
        <v>19631</v>
      </c>
      <c r="K2" s="53">
        <f>350*1.15</f>
        <v>402.49999999999994</v>
      </c>
      <c r="L2" s="11">
        <f>2143.03-K2+201.25</f>
        <v>1941.7800000000002</v>
      </c>
      <c r="M2" s="11">
        <v>1151</v>
      </c>
      <c r="N2" s="11">
        <f>SUM(J2+K2+L2-M2)</f>
        <v>20824.28</v>
      </c>
      <c r="O2" s="11">
        <f>SUM(N2+500)</f>
        <v>21324.28</v>
      </c>
      <c r="P2" s="11">
        <v>14500</v>
      </c>
      <c r="Q2" s="139" t="s">
        <v>94</v>
      </c>
      <c r="R2" s="419" t="s">
        <v>1634</v>
      </c>
    </row>
    <row r="3" spans="1:19" x14ac:dyDescent="0.3">
      <c r="A3" s="142" t="s">
        <v>105</v>
      </c>
      <c r="B3" s="142" t="s">
        <v>1492</v>
      </c>
      <c r="C3" s="6" t="s">
        <v>171</v>
      </c>
      <c r="D3" s="19" t="s">
        <v>172</v>
      </c>
      <c r="E3" s="5" t="s">
        <v>170</v>
      </c>
      <c r="F3" s="135">
        <v>106271</v>
      </c>
      <c r="G3" s="9">
        <v>2011</v>
      </c>
      <c r="H3" s="5" t="s">
        <v>123</v>
      </c>
      <c r="I3" s="125" t="s">
        <v>173</v>
      </c>
      <c r="J3" s="11">
        <v>15800</v>
      </c>
      <c r="K3" s="11">
        <v>448.5</v>
      </c>
      <c r="L3" s="11">
        <f>50+2155.1</f>
        <v>2205.1</v>
      </c>
      <c r="M3" s="11">
        <v>1151</v>
      </c>
      <c r="N3" s="11">
        <f>SUM(K3+J3+L3-M3)</f>
        <v>17302.599999999999</v>
      </c>
      <c r="O3" s="11">
        <f>SUM(N3+500)</f>
        <v>17802.599999999999</v>
      </c>
      <c r="P3" s="11">
        <v>10000</v>
      </c>
      <c r="Q3" s="129" t="s">
        <v>64</v>
      </c>
      <c r="R3" s="12" t="s">
        <v>1192</v>
      </c>
    </row>
    <row r="4" spans="1:19" x14ac:dyDescent="0.3">
      <c r="A4" s="142" t="s">
        <v>105</v>
      </c>
      <c r="B4" s="142" t="s">
        <v>1497</v>
      </c>
      <c r="C4" s="6" t="s">
        <v>256</v>
      </c>
      <c r="D4" s="13">
        <v>44682</v>
      </c>
      <c r="E4" s="5" t="s">
        <v>167</v>
      </c>
      <c r="F4" s="135">
        <v>91565</v>
      </c>
      <c r="G4" s="9">
        <v>2016</v>
      </c>
      <c r="H4" s="5" t="s">
        <v>123</v>
      </c>
      <c r="I4" s="125" t="s">
        <v>206</v>
      </c>
      <c r="J4" s="11">
        <f>20379-1151</f>
        <v>19228</v>
      </c>
      <c r="K4" s="11">
        <v>448.5</v>
      </c>
      <c r="L4" s="11">
        <v>614.1</v>
      </c>
      <c r="M4" s="11">
        <v>1151</v>
      </c>
      <c r="N4" s="11">
        <f>SUM(J4+K4+L4-M4)</f>
        <v>19139.599999999999</v>
      </c>
      <c r="O4" s="11">
        <f>SUM(N4+500)</f>
        <v>19639.599999999999</v>
      </c>
      <c r="P4" s="11">
        <v>14000</v>
      </c>
      <c r="Q4" s="129" t="s">
        <v>1123</v>
      </c>
      <c r="R4" t="s">
        <v>1175</v>
      </c>
    </row>
    <row r="5" spans="1:19" x14ac:dyDescent="0.3">
      <c r="A5" s="25" t="s">
        <v>14</v>
      </c>
      <c r="B5" s="25" t="s">
        <v>1471</v>
      </c>
      <c r="C5" s="26" t="s">
        <v>270</v>
      </c>
      <c r="D5" s="7">
        <v>44716</v>
      </c>
      <c r="E5" s="22" t="s">
        <v>258</v>
      </c>
      <c r="F5" s="135">
        <v>107647</v>
      </c>
      <c r="G5" s="9">
        <v>2008</v>
      </c>
      <c r="H5" s="5" t="s">
        <v>271</v>
      </c>
      <c r="I5" s="125" t="s">
        <v>734</v>
      </c>
      <c r="J5" s="11">
        <v>7317.75</v>
      </c>
      <c r="K5" s="11">
        <v>402.5</v>
      </c>
      <c r="L5" s="11">
        <f>3005.18-K5</f>
        <v>2602.6799999999998</v>
      </c>
      <c r="M5" s="11">
        <v>1151</v>
      </c>
      <c r="N5" s="11">
        <f>SUM(J5+K5+L5-M5)</f>
        <v>9171.93</v>
      </c>
      <c r="O5" s="11">
        <f>SUM(N5+500)</f>
        <v>9671.93</v>
      </c>
      <c r="P5" s="11">
        <v>7000</v>
      </c>
      <c r="Q5" s="129" t="s">
        <v>1416</v>
      </c>
      <c r="R5" s="12" t="s">
        <v>1174</v>
      </c>
    </row>
    <row r="6" spans="1:19" x14ac:dyDescent="0.3">
      <c r="A6" s="143" t="s">
        <v>14</v>
      </c>
      <c r="B6" s="143" t="s">
        <v>1472</v>
      </c>
      <c r="C6" s="6" t="s">
        <v>122</v>
      </c>
      <c r="D6" s="13">
        <v>44515</v>
      </c>
      <c r="E6" s="5" t="s">
        <v>79</v>
      </c>
      <c r="F6" s="8">
        <v>33078</v>
      </c>
      <c r="G6" s="9">
        <v>2011</v>
      </c>
      <c r="H6" s="5" t="s">
        <v>123</v>
      </c>
      <c r="I6" s="125" t="s">
        <v>124</v>
      </c>
      <c r="J6" s="11">
        <v>12031.15</v>
      </c>
      <c r="K6" s="11">
        <v>414</v>
      </c>
      <c r="L6" s="11">
        <f>483-K6</f>
        <v>69</v>
      </c>
      <c r="M6" s="11">
        <v>1151</v>
      </c>
      <c r="N6" s="11">
        <f>SUM(J6+K6+L6-M6)</f>
        <v>11363.15</v>
      </c>
      <c r="O6" s="11">
        <f>SUM(N6+500)</f>
        <v>11863.15</v>
      </c>
      <c r="P6" s="11">
        <v>13000</v>
      </c>
      <c r="Q6" s="129" t="s">
        <v>26</v>
      </c>
      <c r="R6" s="419" t="s">
        <v>1634</v>
      </c>
      <c r="S6" t="s">
        <v>1586</v>
      </c>
    </row>
    <row r="7" spans="1:19" x14ac:dyDescent="0.3">
      <c r="A7" s="142" t="s">
        <v>105</v>
      </c>
      <c r="B7" s="142" t="s">
        <v>1465</v>
      </c>
      <c r="C7" s="6" t="s">
        <v>108</v>
      </c>
      <c r="D7" s="13">
        <v>44515</v>
      </c>
      <c r="E7" s="5" t="s">
        <v>88</v>
      </c>
      <c r="F7" s="8">
        <v>55840</v>
      </c>
      <c r="G7" s="9">
        <v>2011</v>
      </c>
      <c r="H7" s="5" t="s">
        <v>21</v>
      </c>
      <c r="I7" s="125" t="s">
        <v>109</v>
      </c>
      <c r="J7" s="141">
        <v>12396.85</v>
      </c>
      <c r="K7" s="11"/>
      <c r="L7" s="11">
        <v>1138.6099999999999</v>
      </c>
      <c r="M7" s="11">
        <v>1151</v>
      </c>
      <c r="N7" s="11">
        <f>SUM(J7+L7-M7)</f>
        <v>12384.460000000001</v>
      </c>
      <c r="O7" s="11">
        <f>SUM(N7+500)</f>
        <v>12884.460000000001</v>
      </c>
      <c r="P7" s="11">
        <v>12000</v>
      </c>
      <c r="Q7" s="22" t="s">
        <v>26</v>
      </c>
      <c r="R7" s="419" t="s">
        <v>1634</v>
      </c>
    </row>
    <row r="8" spans="1:19" x14ac:dyDescent="0.3">
      <c r="A8" s="142" t="s">
        <v>105</v>
      </c>
      <c r="B8" s="142" t="s">
        <v>1471</v>
      </c>
      <c r="C8" s="6" t="s">
        <v>155</v>
      </c>
      <c r="D8" s="13">
        <v>44558</v>
      </c>
      <c r="E8" s="5" t="s">
        <v>69</v>
      </c>
      <c r="F8" s="8">
        <v>105382</v>
      </c>
      <c r="G8" s="9">
        <v>2012</v>
      </c>
      <c r="H8" s="5" t="s">
        <v>21</v>
      </c>
      <c r="I8" s="125" t="s">
        <v>156</v>
      </c>
      <c r="J8" s="141">
        <v>16375</v>
      </c>
      <c r="K8" s="11"/>
      <c r="L8" s="11">
        <v>1252.24</v>
      </c>
      <c r="M8" s="11">
        <v>1151</v>
      </c>
      <c r="N8" s="11">
        <f>SUM(J8+L8-M8)</f>
        <v>16476.240000000002</v>
      </c>
      <c r="O8" s="11">
        <f>SUM(N8+500)</f>
        <v>16976.240000000002</v>
      </c>
      <c r="P8" s="11">
        <v>11000</v>
      </c>
      <c r="Q8" s="139" t="s">
        <v>64</v>
      </c>
      <c r="R8" s="12" t="s">
        <v>136</v>
      </c>
    </row>
    <row r="9" spans="1:19" x14ac:dyDescent="0.3">
      <c r="A9" s="5" t="s">
        <v>14</v>
      </c>
      <c r="B9" s="5" t="s">
        <v>1471</v>
      </c>
      <c r="C9" s="6" t="s">
        <v>126</v>
      </c>
      <c r="D9" s="13">
        <v>44515</v>
      </c>
      <c r="E9" s="5" t="s">
        <v>88</v>
      </c>
      <c r="F9" s="8">
        <v>113349</v>
      </c>
      <c r="G9" s="9">
        <v>2013</v>
      </c>
      <c r="H9" s="5" t="s">
        <v>21</v>
      </c>
      <c r="I9" s="125" t="s">
        <v>127</v>
      </c>
      <c r="J9" s="11">
        <v>15229</v>
      </c>
      <c r="K9" s="11">
        <v>414</v>
      </c>
      <c r="L9" s="11">
        <f>1895.85-K9+776.9</f>
        <v>2258.75</v>
      </c>
      <c r="M9" s="11">
        <v>1151</v>
      </c>
      <c r="N9" s="11">
        <f>SUM(J9+L9-M9)</f>
        <v>16336.75</v>
      </c>
      <c r="O9" s="11">
        <f>SUM(N9+500)</f>
        <v>16836.75</v>
      </c>
      <c r="P9" s="11">
        <v>12000</v>
      </c>
      <c r="Q9" s="246" t="s">
        <v>1416</v>
      </c>
      <c r="R9" s="12" t="s">
        <v>1195</v>
      </c>
    </row>
    <row r="10" spans="1:19" x14ac:dyDescent="0.3">
      <c r="A10" s="5" t="s">
        <v>14</v>
      </c>
      <c r="B10" s="5" t="s">
        <v>1463</v>
      </c>
      <c r="C10" s="6" t="s">
        <v>244</v>
      </c>
      <c r="D10" s="13">
        <v>44633</v>
      </c>
      <c r="E10" s="5" t="s">
        <v>211</v>
      </c>
      <c r="F10" s="135">
        <v>118295</v>
      </c>
      <c r="G10" s="9">
        <v>2013</v>
      </c>
      <c r="H10" s="5" t="s">
        <v>21</v>
      </c>
      <c r="I10" s="125" t="s">
        <v>245</v>
      </c>
      <c r="J10" s="141">
        <v>14610.6</v>
      </c>
      <c r="K10" s="11"/>
      <c r="L10" s="11">
        <f>768.75+1104</f>
        <v>1872.75</v>
      </c>
      <c r="M10" s="11">
        <v>1151</v>
      </c>
      <c r="N10" s="11">
        <f>SUM(J10+L10-M10)</f>
        <v>15332.349999999999</v>
      </c>
      <c r="O10" s="11">
        <f>SUM(N10+500)</f>
        <v>15832.349999999999</v>
      </c>
      <c r="P10" s="11">
        <v>15000</v>
      </c>
      <c r="Q10" s="246" t="s">
        <v>1405</v>
      </c>
      <c r="R10" s="149" t="s">
        <v>1641</v>
      </c>
    </row>
    <row r="11" spans="1:19" x14ac:dyDescent="0.3">
      <c r="A11" s="5" t="s">
        <v>14</v>
      </c>
      <c r="B11" s="5" t="s">
        <v>1471</v>
      </c>
      <c r="C11" s="6" t="s">
        <v>129</v>
      </c>
      <c r="D11" s="13">
        <v>44515</v>
      </c>
      <c r="E11" s="5" t="s">
        <v>88</v>
      </c>
      <c r="F11" s="8">
        <v>54076</v>
      </c>
      <c r="G11" s="9">
        <v>2010</v>
      </c>
      <c r="H11" s="5" t="s">
        <v>21</v>
      </c>
      <c r="I11" s="125" t="s">
        <v>127</v>
      </c>
      <c r="J11" s="141">
        <v>9171.1</v>
      </c>
      <c r="K11" s="11">
        <v>414</v>
      </c>
      <c r="L11" s="11">
        <f>2072.34-K11</f>
        <v>1658.3400000000001</v>
      </c>
      <c r="M11" s="11">
        <v>1151</v>
      </c>
      <c r="N11" s="11">
        <f>SUM(J11+K11+L11)</f>
        <v>11243.44</v>
      </c>
      <c r="O11" s="11">
        <f>SUM(N11+500)</f>
        <v>11743.44</v>
      </c>
      <c r="P11" s="11">
        <v>7000</v>
      </c>
      <c r="Q11" s="246" t="s">
        <v>26</v>
      </c>
      <c r="R11" s="419" t="s">
        <v>1634</v>
      </c>
    </row>
    <row r="12" spans="1:19" x14ac:dyDescent="0.3">
      <c r="A12" s="5" t="s">
        <v>14</v>
      </c>
      <c r="B12" s="5" t="s">
        <v>1471</v>
      </c>
      <c r="C12" s="6" t="s">
        <v>145</v>
      </c>
      <c r="D12" s="13">
        <v>44515</v>
      </c>
      <c r="E12" s="5" t="s">
        <v>81</v>
      </c>
      <c r="F12" s="8">
        <v>126411</v>
      </c>
      <c r="G12" s="9">
        <v>2013</v>
      </c>
      <c r="H12" s="5" t="s">
        <v>21</v>
      </c>
      <c r="I12" s="125" t="s">
        <v>127</v>
      </c>
      <c r="J12" s="141">
        <v>13556.05</v>
      </c>
      <c r="K12" s="11">
        <f>360*1.15</f>
        <v>413.99999999999994</v>
      </c>
      <c r="L12" s="11">
        <f>1300.75-K12+115.35</f>
        <v>1002.1</v>
      </c>
      <c r="M12" s="11">
        <v>1151</v>
      </c>
      <c r="N12" s="11">
        <f>SUM(J12+K12+L12-M12)</f>
        <v>13821.15</v>
      </c>
      <c r="O12" s="11">
        <f>SUM(N12+500)</f>
        <v>14321.15</v>
      </c>
      <c r="P12" s="11">
        <v>12000</v>
      </c>
      <c r="Q12" s="22" t="s">
        <v>1582</v>
      </c>
      <c r="R12" s="419" t="s">
        <v>1637</v>
      </c>
    </row>
    <row r="13" spans="1:19" x14ac:dyDescent="0.3">
      <c r="A13" s="5" t="s">
        <v>14</v>
      </c>
      <c r="B13" s="5" t="s">
        <v>1471</v>
      </c>
      <c r="C13" s="6" t="s">
        <v>191</v>
      </c>
      <c r="D13" s="13">
        <v>44613</v>
      </c>
      <c r="E13" s="5" t="s">
        <v>187</v>
      </c>
      <c r="F13" s="8">
        <v>76447</v>
      </c>
      <c r="G13" s="9">
        <v>2013</v>
      </c>
      <c r="H13" s="5" t="s">
        <v>21</v>
      </c>
      <c r="I13" s="125">
        <v>59439</v>
      </c>
      <c r="J13" s="141">
        <v>16647.25</v>
      </c>
      <c r="K13" s="11"/>
      <c r="L13" s="11">
        <v>1537.63</v>
      </c>
      <c r="M13" s="11">
        <v>1151</v>
      </c>
      <c r="N13" s="11">
        <f>SUM(J13+L13-M13)</f>
        <v>17033.88</v>
      </c>
      <c r="O13" s="11">
        <f>SUM(N13+500)</f>
        <v>17533.88</v>
      </c>
      <c r="P13" s="11">
        <v>12000</v>
      </c>
      <c r="Q13" s="139" t="s">
        <v>26</v>
      </c>
      <c r="R13" s="12" t="s">
        <v>110</v>
      </c>
    </row>
    <row r="14" spans="1:19" x14ac:dyDescent="0.3">
      <c r="A14" s="5" t="s">
        <v>14</v>
      </c>
      <c r="B14" s="5" t="s">
        <v>1473</v>
      </c>
      <c r="C14" s="6" t="s">
        <v>130</v>
      </c>
      <c r="D14" s="13">
        <v>44515</v>
      </c>
      <c r="E14" s="5" t="s">
        <v>88</v>
      </c>
      <c r="F14" s="135">
        <v>42837</v>
      </c>
      <c r="G14" s="9">
        <v>2007</v>
      </c>
      <c r="H14" s="5" t="s">
        <v>21</v>
      </c>
      <c r="I14" s="125" t="s">
        <v>131</v>
      </c>
      <c r="J14" s="141">
        <v>6636.5</v>
      </c>
      <c r="K14" s="11"/>
      <c r="L14" s="11">
        <v>1056.8699999999999</v>
      </c>
      <c r="M14" s="11">
        <v>1151</v>
      </c>
      <c r="N14" s="11">
        <f>SUM(J14+L14-M14)</f>
        <v>6542.37</v>
      </c>
      <c r="O14" s="11">
        <f>SUM(N14+500)</f>
        <v>7042.37</v>
      </c>
      <c r="P14" s="11">
        <v>5000</v>
      </c>
      <c r="Q14" s="139" t="s">
        <v>26</v>
      </c>
      <c r="R14" s="12" t="s">
        <v>132</v>
      </c>
    </row>
    <row r="15" spans="1:19" x14ac:dyDescent="0.3">
      <c r="A15" s="5" t="s">
        <v>14</v>
      </c>
      <c r="B15" s="5" t="s">
        <v>1474</v>
      </c>
      <c r="C15" s="6" t="s">
        <v>23</v>
      </c>
      <c r="D15" s="7">
        <v>43993</v>
      </c>
      <c r="E15" s="5" t="s">
        <v>24</v>
      </c>
      <c r="F15" s="135">
        <v>98424</v>
      </c>
      <c r="G15" s="9">
        <v>2010</v>
      </c>
      <c r="H15" s="5" t="s">
        <v>21</v>
      </c>
      <c r="I15" s="125" t="s">
        <v>25</v>
      </c>
      <c r="J15" s="141">
        <v>7578.5</v>
      </c>
      <c r="K15" s="11"/>
      <c r="L15" s="11">
        <v>6627.49</v>
      </c>
      <c r="M15" s="11">
        <v>1151</v>
      </c>
      <c r="N15" s="11">
        <f>SUM(J15+L15-M15)</f>
        <v>13054.99</v>
      </c>
      <c r="O15" s="11">
        <f>SUM(N15+500)</f>
        <v>13554.99</v>
      </c>
      <c r="P15" s="11">
        <v>8000</v>
      </c>
      <c r="Q15" s="139" t="s">
        <v>1416</v>
      </c>
      <c r="R15" s="12" t="s">
        <v>1638</v>
      </c>
    </row>
    <row r="16" spans="1:19" x14ac:dyDescent="0.3">
      <c r="A16" s="5" t="s">
        <v>14</v>
      </c>
      <c r="B16" s="5" t="s">
        <v>1475</v>
      </c>
      <c r="C16" s="6" t="s">
        <v>192</v>
      </c>
      <c r="D16" s="13">
        <v>44613</v>
      </c>
      <c r="E16" s="5" t="s">
        <v>178</v>
      </c>
      <c r="F16" s="8">
        <v>88189</v>
      </c>
      <c r="G16" s="9">
        <v>2011</v>
      </c>
      <c r="H16" s="5" t="s">
        <v>21</v>
      </c>
      <c r="I16" s="125" t="s">
        <v>193</v>
      </c>
      <c r="J16" s="141">
        <v>14744</v>
      </c>
      <c r="K16" s="11"/>
      <c r="L16" s="11">
        <v>1247.5999999999999</v>
      </c>
      <c r="M16" s="11">
        <v>1151</v>
      </c>
      <c r="N16" s="11">
        <f>SUM(J16+L16-M16)</f>
        <v>14840.6</v>
      </c>
      <c r="O16" s="11">
        <f>SUM(N16+500)</f>
        <v>15340.6</v>
      </c>
      <c r="P16" s="11">
        <v>15000</v>
      </c>
      <c r="Q16" s="139" t="s">
        <v>26</v>
      </c>
      <c r="R16" s="12" t="s">
        <v>110</v>
      </c>
    </row>
    <row r="17" spans="1:19" x14ac:dyDescent="0.3">
      <c r="A17" s="5" t="s">
        <v>14</v>
      </c>
      <c r="B17" s="5" t="s">
        <v>1547</v>
      </c>
      <c r="C17" s="6" t="s">
        <v>174</v>
      </c>
      <c r="D17" s="19" t="s">
        <v>172</v>
      </c>
      <c r="E17" s="5" t="s">
        <v>175</v>
      </c>
      <c r="F17" s="135">
        <v>128428</v>
      </c>
      <c r="G17" s="9">
        <v>2012</v>
      </c>
      <c r="H17" s="5" t="s">
        <v>21</v>
      </c>
      <c r="I17" s="125" t="s">
        <v>86</v>
      </c>
      <c r="J17" s="141">
        <v>14188.55</v>
      </c>
      <c r="K17" s="11">
        <f>390*1.15</f>
        <v>448.49999999999994</v>
      </c>
      <c r="L17" s="11">
        <f>1233.4+264.5-K17</f>
        <v>1049.4000000000001</v>
      </c>
      <c r="M17" s="11">
        <v>1151</v>
      </c>
      <c r="N17" s="11">
        <f>SUM(J17+K17+L17-M17)</f>
        <v>14535.449999999999</v>
      </c>
      <c r="O17" s="11">
        <f>SUM(N17+500)</f>
        <v>15035.449999999999</v>
      </c>
      <c r="P17" s="11">
        <v>10000</v>
      </c>
      <c r="Q17" s="139" t="s">
        <v>1222</v>
      </c>
      <c r="R17" s="12" t="s">
        <v>176</v>
      </c>
    </row>
    <row r="18" spans="1:19" x14ac:dyDescent="0.3">
      <c r="A18" s="5" t="s">
        <v>14</v>
      </c>
      <c r="B18" s="5" t="s">
        <v>1498</v>
      </c>
      <c r="C18" s="6" t="s">
        <v>65</v>
      </c>
      <c r="D18" s="7">
        <v>44441</v>
      </c>
      <c r="E18" s="5" t="s">
        <v>59</v>
      </c>
      <c r="F18" s="135">
        <v>81087</v>
      </c>
      <c r="G18" s="9">
        <v>2010</v>
      </c>
      <c r="H18" s="5" t="s">
        <v>21</v>
      </c>
      <c r="I18" s="125" t="s">
        <v>66</v>
      </c>
      <c r="J18" s="141">
        <v>6680.35</v>
      </c>
      <c r="K18" s="11">
        <v>414</v>
      </c>
      <c r="L18" s="11">
        <f>6329.4-K18</f>
        <v>5915.4</v>
      </c>
      <c r="M18" s="11">
        <v>1151</v>
      </c>
      <c r="N18" s="11">
        <f>SUM(J18+K18+L18-M18)</f>
        <v>11858.75</v>
      </c>
      <c r="O18" s="11">
        <f>SUM(N18+500)</f>
        <v>12358.75</v>
      </c>
      <c r="P18" s="11">
        <v>8000</v>
      </c>
      <c r="Q18" s="422" t="s">
        <v>18</v>
      </c>
      <c r="R18" s="22" t="s">
        <v>1194</v>
      </c>
    </row>
    <row r="19" spans="1:19" x14ac:dyDescent="0.3">
      <c r="A19" s="5" t="s">
        <v>14</v>
      </c>
      <c r="B19" s="5" t="s">
        <v>1499</v>
      </c>
      <c r="C19" s="6" t="s">
        <v>87</v>
      </c>
      <c r="D19" s="7">
        <v>44480</v>
      </c>
      <c r="E19" s="5" t="s">
        <v>88</v>
      </c>
      <c r="F19" s="135">
        <v>73236</v>
      </c>
      <c r="G19" s="9">
        <v>2010</v>
      </c>
      <c r="H19" s="5" t="s">
        <v>21</v>
      </c>
      <c r="I19" s="125" t="s">
        <v>89</v>
      </c>
      <c r="J19" s="141">
        <v>16349.4</v>
      </c>
      <c r="K19" s="11"/>
      <c r="L19" s="11">
        <v>13699.17</v>
      </c>
      <c r="M19" s="11">
        <v>1151</v>
      </c>
      <c r="N19" s="11">
        <f>SUM(J19+L19-M19)</f>
        <v>28897.57</v>
      </c>
      <c r="O19" s="11">
        <v>25000</v>
      </c>
      <c r="P19" s="11">
        <v>20000</v>
      </c>
      <c r="Q19" s="139" t="s">
        <v>18</v>
      </c>
      <c r="R19" s="12" t="s">
        <v>19</v>
      </c>
    </row>
    <row r="20" spans="1:19" x14ac:dyDescent="0.3">
      <c r="A20" s="143" t="s">
        <v>14</v>
      </c>
      <c r="B20" s="143" t="s">
        <v>1548</v>
      </c>
      <c r="C20" s="6" t="s">
        <v>151</v>
      </c>
      <c r="D20" s="13">
        <v>44545</v>
      </c>
      <c r="E20" s="5" t="s">
        <v>149</v>
      </c>
      <c r="F20" s="8">
        <v>80230</v>
      </c>
      <c r="G20" s="9">
        <v>2007</v>
      </c>
      <c r="H20" s="5" t="s">
        <v>152</v>
      </c>
      <c r="I20" s="125" t="s">
        <v>153</v>
      </c>
      <c r="J20" s="141">
        <v>31304</v>
      </c>
      <c r="K20" s="11"/>
      <c r="L20" s="11">
        <v>5437.2</v>
      </c>
      <c r="M20" s="11">
        <v>921</v>
      </c>
      <c r="N20" s="11">
        <f>SUM(J20+L20-M20)</f>
        <v>35820.199999999997</v>
      </c>
      <c r="O20" s="11">
        <f>SUM(N20+500)</f>
        <v>36320.199999999997</v>
      </c>
      <c r="P20" s="11"/>
      <c r="Q20" s="125" t="s">
        <v>1549</v>
      </c>
      <c r="R20" s="12" t="s">
        <v>73</v>
      </c>
    </row>
    <row r="21" spans="1:19" x14ac:dyDescent="0.3">
      <c r="A21" s="142" t="s">
        <v>105</v>
      </c>
      <c r="B21" s="142" t="s">
        <v>1471</v>
      </c>
      <c r="C21" s="6" t="s">
        <v>163</v>
      </c>
      <c r="D21" s="16">
        <v>44565</v>
      </c>
      <c r="E21" s="5" t="s">
        <v>161</v>
      </c>
      <c r="F21" s="8">
        <v>174054</v>
      </c>
      <c r="G21" s="9">
        <v>2015</v>
      </c>
      <c r="H21" s="5" t="s">
        <v>49</v>
      </c>
      <c r="I21" s="125" t="s">
        <v>164</v>
      </c>
      <c r="J21" s="141">
        <v>12345</v>
      </c>
      <c r="K21" s="11"/>
      <c r="L21" s="11">
        <v>685.4</v>
      </c>
      <c r="M21" s="11">
        <v>921</v>
      </c>
      <c r="N21" s="11">
        <f>SUM(J21+L21-M21)</f>
        <v>12109.4</v>
      </c>
      <c r="O21" s="11">
        <f>SUM(N21+500)</f>
        <v>12609.4</v>
      </c>
      <c r="P21" s="11">
        <v>10000</v>
      </c>
      <c r="Q21" s="129" t="s">
        <v>26</v>
      </c>
      <c r="R21" s="12" t="s">
        <v>121</v>
      </c>
    </row>
    <row r="22" spans="1:19" x14ac:dyDescent="0.3">
      <c r="A22" s="146" t="s">
        <v>105</v>
      </c>
      <c r="B22" s="146" t="s">
        <v>1495</v>
      </c>
      <c r="C22" s="47" t="s">
        <v>259</v>
      </c>
      <c r="D22" s="7">
        <v>44716</v>
      </c>
      <c r="E22" s="22" t="s">
        <v>258</v>
      </c>
      <c r="F22" s="135">
        <v>97975</v>
      </c>
      <c r="G22" s="9">
        <v>2013</v>
      </c>
      <c r="H22" s="5" t="s">
        <v>49</v>
      </c>
      <c r="I22" s="125" t="s">
        <v>260</v>
      </c>
      <c r="J22" s="141">
        <v>8604</v>
      </c>
      <c r="K22" s="11"/>
      <c r="L22" s="11">
        <f>402.5+175</f>
        <v>577.5</v>
      </c>
      <c r="M22" s="11">
        <v>921</v>
      </c>
      <c r="N22" s="11">
        <f>SUM(J22+L22-M22)</f>
        <v>8260.5</v>
      </c>
      <c r="O22" s="11">
        <f>SUM(N22+500)</f>
        <v>8760.5</v>
      </c>
      <c r="P22" s="11">
        <v>9000</v>
      </c>
      <c r="Q22" s="139" t="s">
        <v>1010</v>
      </c>
      <c r="R22" s="12" t="s">
        <v>73</v>
      </c>
    </row>
    <row r="23" spans="1:19" x14ac:dyDescent="0.3">
      <c r="A23" s="143" t="s">
        <v>14</v>
      </c>
      <c r="B23" s="143" t="s">
        <v>1496</v>
      </c>
      <c r="C23" s="6" t="s">
        <v>58</v>
      </c>
      <c r="D23" s="13">
        <v>44236</v>
      </c>
      <c r="E23" s="5" t="s">
        <v>59</v>
      </c>
      <c r="F23" s="135">
        <v>114290</v>
      </c>
      <c r="G23" s="9">
        <v>2007</v>
      </c>
      <c r="H23" s="5" t="s">
        <v>49</v>
      </c>
      <c r="I23" s="125" t="s">
        <v>60</v>
      </c>
      <c r="J23" s="141">
        <v>6828.7</v>
      </c>
      <c r="K23" s="11">
        <v>310.5</v>
      </c>
      <c r="L23" s="11">
        <f>2647.84+1091.35-K23</f>
        <v>3428.69</v>
      </c>
      <c r="M23" s="11">
        <v>921</v>
      </c>
      <c r="N23" s="11">
        <f>SUM(J23+K23+L23-M23)</f>
        <v>9646.89</v>
      </c>
      <c r="O23" s="11">
        <v>8000</v>
      </c>
      <c r="P23" s="11">
        <v>5000</v>
      </c>
      <c r="Q23" s="129" t="s">
        <v>1231</v>
      </c>
      <c r="R23" s="12" t="s">
        <v>1232</v>
      </c>
    </row>
    <row r="24" spans="1:19" x14ac:dyDescent="0.3">
      <c r="A24" s="5" t="s">
        <v>14</v>
      </c>
      <c r="B24" s="5" t="s">
        <v>1533</v>
      </c>
      <c r="C24" s="6" t="s">
        <v>67</v>
      </c>
      <c r="D24" s="13" t="s">
        <v>68</v>
      </c>
      <c r="E24" s="5" t="s">
        <v>69</v>
      </c>
      <c r="F24" s="135">
        <v>41472</v>
      </c>
      <c r="G24" s="9">
        <v>2012</v>
      </c>
      <c r="H24" s="5" t="s">
        <v>70</v>
      </c>
      <c r="I24" s="125" t="s">
        <v>71</v>
      </c>
      <c r="J24" s="141">
        <v>45266.95</v>
      </c>
      <c r="K24" s="11"/>
      <c r="L24" s="11">
        <v>4623</v>
      </c>
      <c r="M24" s="11">
        <v>921</v>
      </c>
      <c r="N24" s="11">
        <f>SUM(J24+L24-M24)</f>
        <v>48968.95</v>
      </c>
      <c r="O24" s="141">
        <f>SUM(N24+500)</f>
        <v>49468.95</v>
      </c>
      <c r="P24" s="11"/>
      <c r="Q24" s="139" t="s">
        <v>1441</v>
      </c>
      <c r="R24" s="12" t="s">
        <v>73</v>
      </c>
    </row>
    <row r="25" spans="1:19" x14ac:dyDescent="0.3">
      <c r="A25" s="5" t="s">
        <v>14</v>
      </c>
      <c r="B25" s="5" t="s">
        <v>1500</v>
      </c>
      <c r="C25" s="6" t="s">
        <v>31</v>
      </c>
      <c r="D25" s="13">
        <v>44190</v>
      </c>
      <c r="E25" s="5" t="s">
        <v>32</v>
      </c>
      <c r="F25" s="135">
        <v>83145</v>
      </c>
      <c r="G25" s="9">
        <v>2010</v>
      </c>
      <c r="H25" s="5" t="s">
        <v>33</v>
      </c>
      <c r="I25" s="125" t="s">
        <v>34</v>
      </c>
      <c r="J25" s="141">
        <v>9741.32</v>
      </c>
      <c r="K25" s="11"/>
      <c r="L25" s="11">
        <v>6840.43</v>
      </c>
      <c r="M25" s="11">
        <v>1151</v>
      </c>
      <c r="N25" s="11">
        <f>SUM(J25+L25-M25)</f>
        <v>15430.75</v>
      </c>
      <c r="O25" s="11">
        <v>10000</v>
      </c>
      <c r="P25" s="11">
        <v>7000</v>
      </c>
      <c r="Q25" s="139" t="s">
        <v>18</v>
      </c>
      <c r="R25" s="12" t="s">
        <v>19</v>
      </c>
    </row>
    <row r="26" spans="1:19" x14ac:dyDescent="0.3">
      <c r="A26" s="5" t="s">
        <v>14</v>
      </c>
      <c r="B26" s="5" t="s">
        <v>1462</v>
      </c>
      <c r="C26" s="6" t="s">
        <v>42</v>
      </c>
      <c r="D26" s="13">
        <v>44213</v>
      </c>
      <c r="E26" s="5" t="s">
        <v>43</v>
      </c>
      <c r="F26" s="8">
        <v>148307</v>
      </c>
      <c r="G26" s="9">
        <v>2006</v>
      </c>
      <c r="H26" s="5" t="s">
        <v>44</v>
      </c>
      <c r="I26" s="125" t="s">
        <v>45</v>
      </c>
      <c r="J26" s="141">
        <v>6719.45</v>
      </c>
      <c r="K26" s="11"/>
      <c r="L26" s="11">
        <v>2113.9499999999998</v>
      </c>
      <c r="M26" s="11">
        <v>921</v>
      </c>
      <c r="N26" s="11">
        <f>SUM(J26+L26-M26)</f>
        <v>7912.4</v>
      </c>
      <c r="O26" s="11">
        <f>SUM(N26+500)</f>
        <v>8412.4</v>
      </c>
      <c r="P26" s="11">
        <v>9000</v>
      </c>
      <c r="Q26" s="139" t="s">
        <v>46</v>
      </c>
    </row>
    <row r="27" spans="1:19" x14ac:dyDescent="0.3">
      <c r="A27" s="142" t="s">
        <v>105</v>
      </c>
      <c r="B27" s="142" t="s">
        <v>1471</v>
      </c>
      <c r="C27" s="6" t="s">
        <v>248</v>
      </c>
      <c r="D27" s="13">
        <v>44633</v>
      </c>
      <c r="E27" s="130" t="s">
        <v>200</v>
      </c>
      <c r="F27" s="14">
        <v>136168</v>
      </c>
      <c r="G27" s="18">
        <v>2015</v>
      </c>
      <c r="H27" s="72" t="s">
        <v>77</v>
      </c>
      <c r="I27" s="126" t="s">
        <v>168</v>
      </c>
      <c r="J27" s="141">
        <v>17187</v>
      </c>
      <c r="K27" s="11"/>
      <c r="L27" s="11">
        <v>629.04999999999995</v>
      </c>
      <c r="M27" s="11">
        <v>921</v>
      </c>
      <c r="N27" s="11">
        <f>SUM(J27+L27-M27)</f>
        <v>16895.05</v>
      </c>
      <c r="O27" s="11">
        <f>SUM(N27+500)</f>
        <v>17395.05</v>
      </c>
      <c r="P27" s="11">
        <v>13000</v>
      </c>
      <c r="Q27" s="22" t="s">
        <v>26</v>
      </c>
      <c r="R27" s="419" t="s">
        <v>1634</v>
      </c>
    </row>
    <row r="28" spans="1:19" x14ac:dyDescent="0.3">
      <c r="A28" s="142" t="s">
        <v>105</v>
      </c>
      <c r="B28" s="142" t="s">
        <v>1471</v>
      </c>
      <c r="C28" s="6" t="s">
        <v>251</v>
      </c>
      <c r="D28" s="13">
        <v>44633</v>
      </c>
      <c r="E28" s="130" t="s">
        <v>211</v>
      </c>
      <c r="F28" s="14">
        <v>126298</v>
      </c>
      <c r="G28" s="18">
        <v>2013</v>
      </c>
      <c r="H28" s="72" t="s">
        <v>77</v>
      </c>
      <c r="I28" s="126" t="s">
        <v>138</v>
      </c>
      <c r="J28" s="141">
        <v>13263</v>
      </c>
      <c r="K28" s="11"/>
      <c r="L28" s="11">
        <v>677.35</v>
      </c>
      <c r="M28" s="11">
        <v>921</v>
      </c>
      <c r="N28" s="11">
        <f>SUM(J28+L28-M28)</f>
        <v>13019.35</v>
      </c>
      <c r="O28" s="11">
        <f>SUM(N28+500)</f>
        <v>13519.35</v>
      </c>
      <c r="P28" s="11">
        <v>12000</v>
      </c>
      <c r="Q28" s="121" t="s">
        <v>26</v>
      </c>
      <c r="R28" s="419" t="s">
        <v>1634</v>
      </c>
      <c r="S28" t="s">
        <v>1585</v>
      </c>
    </row>
    <row r="29" spans="1:19" x14ac:dyDescent="0.3">
      <c r="A29" s="5" t="s">
        <v>14</v>
      </c>
      <c r="B29" s="5" t="s">
        <v>1471</v>
      </c>
      <c r="C29" s="6" t="s">
        <v>117</v>
      </c>
      <c r="D29" s="13">
        <v>44515</v>
      </c>
      <c r="E29" s="130" t="s">
        <v>79</v>
      </c>
      <c r="F29" s="14">
        <v>123964</v>
      </c>
      <c r="G29" s="18">
        <v>2014</v>
      </c>
      <c r="H29" s="72" t="s">
        <v>77</v>
      </c>
      <c r="I29" s="126" t="s">
        <v>82</v>
      </c>
      <c r="J29" s="141">
        <v>13769.95</v>
      </c>
      <c r="K29" s="11"/>
      <c r="L29" s="11">
        <v>1199.05</v>
      </c>
      <c r="M29" s="11">
        <v>921</v>
      </c>
      <c r="N29" s="11">
        <f>SUM(J29+L29-M29)</f>
        <v>14048</v>
      </c>
      <c r="O29" s="11">
        <f>SUM(N29+500)</f>
        <v>14548</v>
      </c>
      <c r="P29" s="11">
        <v>13000</v>
      </c>
      <c r="Q29" s="121" t="s">
        <v>1582</v>
      </c>
      <c r="R29" s="419" t="s">
        <v>1637</v>
      </c>
    </row>
    <row r="30" spans="1:19" x14ac:dyDescent="0.3">
      <c r="A30" s="5" t="s">
        <v>14</v>
      </c>
      <c r="B30" s="5" t="s">
        <v>1471</v>
      </c>
      <c r="C30" s="6" t="s">
        <v>169</v>
      </c>
      <c r="D30" s="7">
        <v>44743</v>
      </c>
      <c r="E30" s="130" t="s">
        <v>167</v>
      </c>
      <c r="F30" s="14">
        <v>119096</v>
      </c>
      <c r="G30" s="18">
        <v>2013</v>
      </c>
      <c r="H30" s="72" t="s">
        <v>77</v>
      </c>
      <c r="I30" s="126" t="s">
        <v>82</v>
      </c>
      <c r="J30" s="141">
        <v>11817.75</v>
      </c>
      <c r="K30" s="11"/>
      <c r="L30" s="11">
        <v>2564.5</v>
      </c>
      <c r="M30" s="11">
        <v>921</v>
      </c>
      <c r="N30" s="11">
        <f>SUM(J30+L30-M30)</f>
        <v>13461.25</v>
      </c>
      <c r="O30" s="11">
        <f>SUM(N30+500)</f>
        <v>13961.25</v>
      </c>
      <c r="P30" s="11">
        <v>13000</v>
      </c>
      <c r="Q30" s="149" t="s">
        <v>26</v>
      </c>
      <c r="R30" s="377" t="s">
        <v>1621</v>
      </c>
    </row>
    <row r="31" spans="1:19" x14ac:dyDescent="0.3">
      <c r="A31" s="5" t="s">
        <v>14</v>
      </c>
      <c r="B31" s="5" t="s">
        <v>1471</v>
      </c>
      <c r="C31" s="6" t="s">
        <v>220</v>
      </c>
      <c r="D31" s="13">
        <v>44633</v>
      </c>
      <c r="E31" s="5" t="s">
        <v>211</v>
      </c>
      <c r="F31" s="135">
        <v>156716</v>
      </c>
      <c r="G31" s="9">
        <v>2013</v>
      </c>
      <c r="H31" s="5" t="s">
        <v>77</v>
      </c>
      <c r="I31" s="125" t="s">
        <v>82</v>
      </c>
      <c r="J31" s="141">
        <v>10702.9</v>
      </c>
      <c r="K31" s="11"/>
      <c r="L31" s="11">
        <v>881.45</v>
      </c>
      <c r="M31" s="11">
        <v>921</v>
      </c>
      <c r="N31" s="11">
        <f>SUM(J31+L31-M31)</f>
        <v>10663.35</v>
      </c>
      <c r="O31" s="11">
        <f>SUM(N31+500)</f>
        <v>11163.35</v>
      </c>
      <c r="P31" s="11">
        <v>11000</v>
      </c>
      <c r="Q31" s="139" t="s">
        <v>26</v>
      </c>
      <c r="R31" s="377" t="s">
        <v>1621</v>
      </c>
    </row>
    <row r="32" spans="1:19" x14ac:dyDescent="0.3">
      <c r="A32" s="5" t="s">
        <v>14</v>
      </c>
      <c r="B32" s="5" t="s">
        <v>1471</v>
      </c>
      <c r="C32" s="6" t="s">
        <v>239</v>
      </c>
      <c r="D32" s="13">
        <v>44633</v>
      </c>
      <c r="E32" s="5" t="s">
        <v>211</v>
      </c>
      <c r="F32" s="135">
        <v>113447</v>
      </c>
      <c r="G32" s="9">
        <v>2012</v>
      </c>
      <c r="H32" s="5" t="s">
        <v>77</v>
      </c>
      <c r="I32" s="125" t="s">
        <v>82</v>
      </c>
      <c r="J32" s="141">
        <v>13778</v>
      </c>
      <c r="K32" s="11"/>
      <c r="L32" s="11">
        <v>498.5</v>
      </c>
      <c r="M32" s="11">
        <v>921</v>
      </c>
      <c r="N32" s="11">
        <f>SUM(J32+L32-M32)</f>
        <v>13355.5</v>
      </c>
      <c r="O32" s="11">
        <f>SUM(N32+500)</f>
        <v>13855.5</v>
      </c>
      <c r="P32" s="11">
        <v>13000</v>
      </c>
      <c r="Q32" s="139" t="s">
        <v>26</v>
      </c>
      <c r="R32" s="377" t="s">
        <v>1621</v>
      </c>
    </row>
    <row r="33" spans="1:19" x14ac:dyDescent="0.3">
      <c r="A33" s="130" t="s">
        <v>14</v>
      </c>
      <c r="B33" s="130" t="s">
        <v>1471</v>
      </c>
      <c r="C33" s="6" t="s">
        <v>219</v>
      </c>
      <c r="D33" s="134">
        <v>44633</v>
      </c>
      <c r="E33" s="130" t="s">
        <v>211</v>
      </c>
      <c r="F33" s="135">
        <v>150046</v>
      </c>
      <c r="G33" s="119">
        <v>2015</v>
      </c>
      <c r="H33" s="130" t="s">
        <v>77</v>
      </c>
      <c r="I33" s="122" t="s">
        <v>168</v>
      </c>
      <c r="J33" s="141">
        <v>14347.7</v>
      </c>
      <c r="K33" s="11"/>
      <c r="L33" s="11">
        <v>1421.95</v>
      </c>
      <c r="M33" s="11">
        <v>921</v>
      </c>
      <c r="N33" s="11">
        <f>SUM(J33+L33-M33)</f>
        <v>14848.650000000001</v>
      </c>
      <c r="O33" s="11">
        <f>SUM(N33+500)</f>
        <v>15348.650000000001</v>
      </c>
      <c r="P33" s="11">
        <v>13000</v>
      </c>
      <c r="Q33" s="149" t="s">
        <v>64</v>
      </c>
      <c r="R33" s="377" t="s">
        <v>1621</v>
      </c>
    </row>
    <row r="34" spans="1:19" x14ac:dyDescent="0.3">
      <c r="A34" s="25" t="s">
        <v>14</v>
      </c>
      <c r="B34" s="25" t="s">
        <v>1471</v>
      </c>
      <c r="C34" s="270" t="s">
        <v>265</v>
      </c>
      <c r="D34" s="7">
        <v>44716</v>
      </c>
      <c r="E34" s="22" t="s">
        <v>258</v>
      </c>
      <c r="F34" s="135">
        <v>105034</v>
      </c>
      <c r="G34" s="9">
        <v>2015</v>
      </c>
      <c r="H34" s="5" t="s">
        <v>77</v>
      </c>
      <c r="I34" s="125" t="s">
        <v>266</v>
      </c>
      <c r="J34" s="141">
        <v>17041.7</v>
      </c>
      <c r="K34" s="11"/>
      <c r="L34" s="11">
        <v>580.75</v>
      </c>
      <c r="M34" s="11">
        <v>921</v>
      </c>
      <c r="N34" s="11">
        <f>SUM(J34+L34-M34)</f>
        <v>16701.45</v>
      </c>
      <c r="O34" s="11">
        <f>SUM(N34+500)</f>
        <v>17201.45</v>
      </c>
      <c r="P34" s="11">
        <v>16000</v>
      </c>
      <c r="Q34" s="139" t="s">
        <v>26</v>
      </c>
      <c r="R34" s="419" t="s">
        <v>1634</v>
      </c>
    </row>
    <row r="35" spans="1:19" x14ac:dyDescent="0.3">
      <c r="A35" s="5" t="s">
        <v>14</v>
      </c>
      <c r="B35" s="5" t="s">
        <v>1471</v>
      </c>
      <c r="C35" s="20" t="s">
        <v>184</v>
      </c>
      <c r="D35" s="13">
        <v>44609</v>
      </c>
      <c r="E35" s="5" t="s">
        <v>181</v>
      </c>
      <c r="F35" s="135">
        <v>124020</v>
      </c>
      <c r="G35" s="9">
        <v>2013</v>
      </c>
      <c r="H35" s="5" t="s">
        <v>77</v>
      </c>
      <c r="I35" s="125" t="s">
        <v>138</v>
      </c>
      <c r="J35" s="141">
        <v>13533.05</v>
      </c>
      <c r="K35" s="11"/>
      <c r="L35" s="11">
        <v>1481.05</v>
      </c>
      <c r="M35" s="11">
        <v>921</v>
      </c>
      <c r="N35" s="11">
        <f>SUM(J35+L35-M35)</f>
        <v>14093.099999999999</v>
      </c>
      <c r="O35" s="11">
        <f>SUM(N35+500)</f>
        <v>14593.099999999999</v>
      </c>
      <c r="P35" s="11">
        <v>12000</v>
      </c>
      <c r="Q35" s="139" t="s">
        <v>26</v>
      </c>
      <c r="R35" s="419" t="s">
        <v>1634</v>
      </c>
    </row>
    <row r="36" spans="1:19" x14ac:dyDescent="0.3">
      <c r="A36" s="5" t="s">
        <v>14</v>
      </c>
      <c r="B36" s="5" t="s">
        <v>1471</v>
      </c>
      <c r="C36" s="6" t="s">
        <v>185</v>
      </c>
      <c r="D36" s="13">
        <v>44609</v>
      </c>
      <c r="E36" s="5" t="s">
        <v>181</v>
      </c>
      <c r="F36" s="135">
        <v>142891</v>
      </c>
      <c r="G36" s="9">
        <v>2013</v>
      </c>
      <c r="H36" s="5" t="s">
        <v>77</v>
      </c>
      <c r="I36" s="125" t="s">
        <v>138</v>
      </c>
      <c r="J36" s="141">
        <v>13783.75</v>
      </c>
      <c r="K36" s="11"/>
      <c r="L36" s="11">
        <v>2677.36</v>
      </c>
      <c r="M36" s="11">
        <v>921</v>
      </c>
      <c r="N36" s="11">
        <f>SUM(J36+L36-M36)</f>
        <v>15540.11</v>
      </c>
      <c r="O36" s="11">
        <f>SUM(N36+500)</f>
        <v>16040.11</v>
      </c>
      <c r="P36" s="11">
        <v>11000</v>
      </c>
      <c r="Q36" s="139" t="s">
        <v>1405</v>
      </c>
      <c r="R36" s="377" t="s">
        <v>1631</v>
      </c>
    </row>
    <row r="37" spans="1:19" x14ac:dyDescent="0.3">
      <c r="A37" s="5" t="s">
        <v>14</v>
      </c>
      <c r="B37" s="5" t="s">
        <v>1471</v>
      </c>
      <c r="C37" s="6" t="s">
        <v>227</v>
      </c>
      <c r="D37" s="13">
        <v>44633</v>
      </c>
      <c r="E37" s="5" t="s">
        <v>228</v>
      </c>
      <c r="F37" s="135">
        <v>72655</v>
      </c>
      <c r="G37" s="9">
        <v>2012</v>
      </c>
      <c r="H37" s="5" t="s">
        <v>77</v>
      </c>
      <c r="I37" s="125" t="s">
        <v>138</v>
      </c>
      <c r="J37" s="141">
        <v>16428.75</v>
      </c>
      <c r="K37" s="11"/>
      <c r="L37" s="11">
        <v>498.5</v>
      </c>
      <c r="M37" s="11">
        <v>921</v>
      </c>
      <c r="N37" s="11">
        <f>SUM(J37+L37-M37)</f>
        <v>16006.25</v>
      </c>
      <c r="O37" s="11">
        <f>SUM(N37+500)</f>
        <v>16506.25</v>
      </c>
      <c r="P37" s="11">
        <v>16000</v>
      </c>
      <c r="Q37" s="148" t="s">
        <v>26</v>
      </c>
      <c r="R37" s="419" t="s">
        <v>1634</v>
      </c>
    </row>
    <row r="38" spans="1:19" x14ac:dyDescent="0.3">
      <c r="A38" s="22" t="s">
        <v>14</v>
      </c>
      <c r="B38" s="409" t="s">
        <v>1471</v>
      </c>
      <c r="C38" s="47" t="s">
        <v>257</v>
      </c>
      <c r="D38" s="7">
        <v>44716</v>
      </c>
      <c r="E38" s="22" t="s">
        <v>258</v>
      </c>
      <c r="F38" s="136">
        <v>92808</v>
      </c>
      <c r="G38" s="24">
        <v>2013</v>
      </c>
      <c r="H38" s="395" t="s">
        <v>77</v>
      </c>
      <c r="I38" s="25" t="s">
        <v>82</v>
      </c>
      <c r="J38" s="141">
        <v>11345.05</v>
      </c>
      <c r="K38" s="11"/>
      <c r="L38" s="11">
        <f>5248.91</f>
        <v>5248.91</v>
      </c>
      <c r="M38" s="11">
        <v>921</v>
      </c>
      <c r="N38" s="11">
        <f>SUM(J38+L38-M38)</f>
        <v>15672.96</v>
      </c>
      <c r="O38" s="11">
        <f>SUM(N38+500)</f>
        <v>16172.96</v>
      </c>
      <c r="P38" s="11">
        <v>13000</v>
      </c>
      <c r="Q38" s="149" t="s">
        <v>26</v>
      </c>
      <c r="R38" s="12" t="s">
        <v>19</v>
      </c>
    </row>
    <row r="39" spans="1:19" x14ac:dyDescent="0.3">
      <c r="A39" s="37" t="s">
        <v>14</v>
      </c>
      <c r="B39" s="37" t="s">
        <v>1523</v>
      </c>
      <c r="C39" s="37" t="s">
        <v>1390</v>
      </c>
      <c r="D39" s="249"/>
      <c r="E39" s="249"/>
      <c r="G39" s="249" t="s">
        <v>278</v>
      </c>
      <c r="H39" s="249" t="s">
        <v>77</v>
      </c>
      <c r="I39" s="249" t="s">
        <v>138</v>
      </c>
      <c r="J39" s="11">
        <v>13879.2</v>
      </c>
      <c r="K39" s="53">
        <f>390*1.15</f>
        <v>448.49999999999994</v>
      </c>
      <c r="L39" s="11">
        <f>1179.35-K39</f>
        <v>730.84999999999991</v>
      </c>
      <c r="M39" s="11">
        <v>921</v>
      </c>
      <c r="N39" s="11">
        <f>SUM(J39+K39+L39-M39)</f>
        <v>14137.550000000001</v>
      </c>
      <c r="O39" s="11">
        <f>SUM(N39+500)</f>
        <v>14637.550000000001</v>
      </c>
      <c r="Q39" s="149" t="s">
        <v>816</v>
      </c>
      <c r="R39" s="12" t="s">
        <v>1387</v>
      </c>
    </row>
    <row r="40" spans="1:19" x14ac:dyDescent="0.3">
      <c r="A40" s="5" t="s">
        <v>14</v>
      </c>
      <c r="B40" s="5" t="s">
        <v>1464</v>
      </c>
      <c r="C40" s="6" t="s">
        <v>35</v>
      </c>
      <c r="D40" s="7">
        <v>44317</v>
      </c>
      <c r="E40" s="5" t="s">
        <v>36</v>
      </c>
      <c r="F40" s="8">
        <v>107040</v>
      </c>
      <c r="G40" s="9">
        <v>2013</v>
      </c>
      <c r="H40" s="10" t="s">
        <v>37</v>
      </c>
      <c r="I40" s="125" t="s">
        <v>38</v>
      </c>
      <c r="J40" s="141">
        <v>21209.45</v>
      </c>
      <c r="K40" s="11">
        <f>360*1.15</f>
        <v>413.99999999999994</v>
      </c>
      <c r="L40" s="11">
        <f>5247.37-K40+212.45+184</f>
        <v>5229.82</v>
      </c>
      <c r="M40" s="11">
        <v>1151</v>
      </c>
      <c r="N40" s="11">
        <f>SUM(J40+K40+L40-M40)</f>
        <v>25702.27</v>
      </c>
      <c r="O40" s="11">
        <f>+N40+500</f>
        <v>26202.27</v>
      </c>
      <c r="P40" s="11">
        <v>21000</v>
      </c>
      <c r="Q40" s="149" t="s">
        <v>1224</v>
      </c>
      <c r="R40" s="12" t="s">
        <v>1269</v>
      </c>
    </row>
    <row r="41" spans="1:19" ht="15.75" customHeight="1" x14ac:dyDescent="0.3">
      <c r="A41" s="5" t="s">
        <v>14</v>
      </c>
      <c r="B41" s="5" t="s">
        <v>1480</v>
      </c>
      <c r="C41" s="6" t="s">
        <v>255</v>
      </c>
      <c r="D41" s="13">
        <v>44633</v>
      </c>
      <c r="E41" s="5" t="s">
        <v>211</v>
      </c>
      <c r="F41" s="8">
        <v>65807</v>
      </c>
      <c r="G41" s="9">
        <v>2009</v>
      </c>
      <c r="H41" s="125" t="s">
        <v>37</v>
      </c>
      <c r="I41" s="125" t="s">
        <v>56</v>
      </c>
      <c r="J41" s="141">
        <v>12951.15</v>
      </c>
      <c r="K41" s="11"/>
      <c r="L41" s="11">
        <v>987.14</v>
      </c>
      <c r="M41" s="11">
        <v>1151</v>
      </c>
      <c r="N41" s="11">
        <f>SUM(J41+L41-M41)</f>
        <v>12787.289999999999</v>
      </c>
      <c r="O41" s="11">
        <f>SUM(N41+500)</f>
        <v>13287.289999999999</v>
      </c>
      <c r="P41" s="11">
        <v>12000</v>
      </c>
      <c r="Q41" s="149" t="s">
        <v>1592</v>
      </c>
      <c r="R41" s="12" t="s">
        <v>1638</v>
      </c>
      <c r="S41" t="s">
        <v>1588</v>
      </c>
    </row>
    <row r="42" spans="1:19" ht="15.75" customHeight="1" x14ac:dyDescent="0.3">
      <c r="A42" s="5" t="s">
        <v>14</v>
      </c>
      <c r="B42" s="5" t="s">
        <v>1481</v>
      </c>
      <c r="C42" s="6" t="s">
        <v>147</v>
      </c>
      <c r="D42" s="13">
        <v>44515</v>
      </c>
      <c r="E42" s="5" t="s">
        <v>79</v>
      </c>
      <c r="F42" s="8">
        <v>72059</v>
      </c>
      <c r="G42" s="9">
        <v>2009</v>
      </c>
      <c r="H42" s="10" t="s">
        <v>37</v>
      </c>
      <c r="I42" s="125" t="s">
        <v>38</v>
      </c>
      <c r="J42" s="141">
        <v>9228.6</v>
      </c>
      <c r="K42" s="11"/>
      <c r="L42" s="11">
        <v>1339.37</v>
      </c>
      <c r="M42" s="11">
        <v>1151</v>
      </c>
      <c r="N42" s="11">
        <f>SUM(J42+L42-M42)</f>
        <v>9416.9700000000012</v>
      </c>
      <c r="O42" s="11">
        <f>SUM(N42+500)</f>
        <v>9916.9700000000012</v>
      </c>
      <c r="P42" s="11">
        <v>12000</v>
      </c>
      <c r="Q42" s="149" t="s">
        <v>26</v>
      </c>
      <c r="R42" s="12" t="s">
        <v>101</v>
      </c>
    </row>
    <row r="43" spans="1:19" ht="15.75" customHeight="1" x14ac:dyDescent="0.3">
      <c r="A43" s="5" t="s">
        <v>14</v>
      </c>
      <c r="B43" s="5" t="s">
        <v>1471</v>
      </c>
      <c r="C43" s="6" t="s">
        <v>61</v>
      </c>
      <c r="D43" s="13">
        <v>44236</v>
      </c>
      <c r="E43" s="5" t="s">
        <v>62</v>
      </c>
      <c r="F43" s="8">
        <v>98368</v>
      </c>
      <c r="G43" s="9">
        <v>2015</v>
      </c>
      <c r="H43" s="10" t="s">
        <v>37</v>
      </c>
      <c r="I43" s="125" t="s">
        <v>63</v>
      </c>
      <c r="J43" s="141">
        <v>22540</v>
      </c>
      <c r="K43" s="11"/>
      <c r="L43" s="11">
        <v>4363.3599999999997</v>
      </c>
      <c r="M43" s="11">
        <v>1151</v>
      </c>
      <c r="N43" s="11">
        <f>SUM(J43+L43-M43)</f>
        <v>25752.36</v>
      </c>
      <c r="O43" s="11">
        <v>23500</v>
      </c>
      <c r="P43" s="11">
        <v>20000</v>
      </c>
      <c r="Q43" s="149" t="s">
        <v>64</v>
      </c>
    </row>
    <row r="44" spans="1:19" ht="15.75" customHeight="1" x14ac:dyDescent="0.3">
      <c r="A44" s="5" t="s">
        <v>14</v>
      </c>
      <c r="B44" s="5" t="s">
        <v>1471</v>
      </c>
      <c r="C44" s="6" t="s">
        <v>141</v>
      </c>
      <c r="D44" s="13">
        <v>44515</v>
      </c>
      <c r="E44" s="5" t="s">
        <v>81</v>
      </c>
      <c r="F44" s="8">
        <v>73955</v>
      </c>
      <c r="G44" s="9">
        <v>2014</v>
      </c>
      <c r="H44" s="125" t="s">
        <v>37</v>
      </c>
      <c r="I44" s="125" t="s">
        <v>142</v>
      </c>
      <c r="J44" s="141">
        <v>20717.099999999999</v>
      </c>
      <c r="K44" s="11"/>
      <c r="L44" s="11">
        <v>2907.59</v>
      </c>
      <c r="M44" s="11">
        <v>1151</v>
      </c>
      <c r="N44" s="11">
        <f>SUM(J44+L44-M44)</f>
        <v>22473.69</v>
      </c>
      <c r="O44" s="11">
        <f>SUM(N44+500)</f>
        <v>22973.69</v>
      </c>
      <c r="P44" s="11">
        <v>21000</v>
      </c>
      <c r="Q44" s="149" t="s">
        <v>64</v>
      </c>
    </row>
    <row r="45" spans="1:19" ht="15.75" customHeight="1" x14ac:dyDescent="0.3">
      <c r="A45" s="5" t="s">
        <v>14</v>
      </c>
      <c r="B45" s="5" t="s">
        <v>1493</v>
      </c>
      <c r="C45" s="6" t="s">
        <v>235</v>
      </c>
      <c r="D45" s="13">
        <v>44633</v>
      </c>
      <c r="E45" s="5" t="s">
        <v>211</v>
      </c>
      <c r="F45" s="8">
        <v>104148</v>
      </c>
      <c r="G45" s="9">
        <v>2008</v>
      </c>
      <c r="H45" s="10" t="s">
        <v>37</v>
      </c>
      <c r="I45" s="125" t="s">
        <v>236</v>
      </c>
      <c r="J45" s="141">
        <v>8923.85</v>
      </c>
      <c r="K45" s="11"/>
      <c r="L45" s="11">
        <v>2595.5</v>
      </c>
      <c r="M45" s="11">
        <v>1151</v>
      </c>
      <c r="N45" s="11">
        <f>SUM(J45+L45-M45)</f>
        <v>10368.35</v>
      </c>
      <c r="O45" s="11">
        <f>SUM(N45+500)</f>
        <v>10868.35</v>
      </c>
      <c r="P45" s="11">
        <v>7000</v>
      </c>
      <c r="Q45" s="149" t="s">
        <v>1221</v>
      </c>
      <c r="R45" s="12" t="s">
        <v>98</v>
      </c>
    </row>
    <row r="46" spans="1:19" x14ac:dyDescent="0.3">
      <c r="A46" s="5" t="s">
        <v>14</v>
      </c>
      <c r="B46" s="5" t="s">
        <v>1494</v>
      </c>
      <c r="C46" s="6" t="s">
        <v>55</v>
      </c>
      <c r="D46" s="13">
        <v>44213</v>
      </c>
      <c r="E46" s="5" t="s">
        <v>51</v>
      </c>
      <c r="F46" s="135">
        <v>87823</v>
      </c>
      <c r="G46" s="9">
        <v>2010</v>
      </c>
      <c r="H46" s="10" t="s">
        <v>37</v>
      </c>
      <c r="I46" s="125" t="s">
        <v>56</v>
      </c>
      <c r="J46" s="141">
        <v>13074.35</v>
      </c>
      <c r="K46" s="11"/>
      <c r="L46" s="11">
        <v>1954.31</v>
      </c>
      <c r="M46" s="11">
        <v>1151</v>
      </c>
      <c r="N46" s="11">
        <f>SUM(J46+L46-M46)</f>
        <v>13877.66</v>
      </c>
      <c r="O46" s="11">
        <f>SUM(N46+500)</f>
        <v>14377.66</v>
      </c>
      <c r="P46" s="11">
        <v>9000</v>
      </c>
      <c r="Q46" s="149" t="s">
        <v>57</v>
      </c>
      <c r="R46" s="12" t="s">
        <v>19</v>
      </c>
    </row>
    <row r="47" spans="1:19" x14ac:dyDescent="0.3">
      <c r="A47" s="5" t="s">
        <v>14</v>
      </c>
      <c r="B47" s="5" t="s">
        <v>1501</v>
      </c>
      <c r="C47" s="6" t="s">
        <v>92</v>
      </c>
      <c r="D47" s="7">
        <v>44480</v>
      </c>
      <c r="E47" s="5" t="s">
        <v>88</v>
      </c>
      <c r="F47" s="135">
        <v>86159</v>
      </c>
      <c r="G47" s="9">
        <v>2013</v>
      </c>
      <c r="H47" s="10" t="s">
        <v>37</v>
      </c>
      <c r="I47" s="125" t="s">
        <v>63</v>
      </c>
      <c r="J47" s="141">
        <v>16111.7</v>
      </c>
      <c r="K47" s="11"/>
      <c r="L47" s="11">
        <v>1465.26</v>
      </c>
      <c r="M47" s="11">
        <v>1151</v>
      </c>
      <c r="N47" s="11">
        <f>SUM(J47+L47-M47)</f>
        <v>16425.96</v>
      </c>
      <c r="O47" s="11">
        <v>18000</v>
      </c>
      <c r="P47" s="11">
        <v>15000</v>
      </c>
      <c r="Q47" s="149" t="s">
        <v>18</v>
      </c>
      <c r="R47" s="12" t="s">
        <v>19</v>
      </c>
    </row>
    <row r="48" spans="1:19" x14ac:dyDescent="0.3">
      <c r="A48" s="5" t="s">
        <v>14</v>
      </c>
      <c r="B48" s="5" t="s">
        <v>1502</v>
      </c>
      <c r="C48" s="6" t="s">
        <v>53</v>
      </c>
      <c r="D48" s="13">
        <v>44213</v>
      </c>
      <c r="E48" s="5" t="s">
        <v>51</v>
      </c>
      <c r="F48" s="135">
        <v>38199</v>
      </c>
      <c r="G48" s="9">
        <v>2005</v>
      </c>
      <c r="H48" s="10" t="s">
        <v>37</v>
      </c>
      <c r="I48" s="125" t="s">
        <v>54</v>
      </c>
      <c r="J48" s="141">
        <v>6625.15</v>
      </c>
      <c r="K48" s="11"/>
      <c r="L48" s="11">
        <v>6141.18</v>
      </c>
      <c r="M48" s="11">
        <v>1151</v>
      </c>
      <c r="N48" s="11">
        <f>SUM(J48+L48-M48)</f>
        <v>11615.33</v>
      </c>
      <c r="O48" s="11">
        <v>10000</v>
      </c>
      <c r="P48" s="11">
        <v>7000</v>
      </c>
      <c r="Q48" s="149" t="s">
        <v>18</v>
      </c>
      <c r="R48" s="12" t="s">
        <v>19</v>
      </c>
    </row>
    <row r="49" spans="1:19" x14ac:dyDescent="0.3">
      <c r="A49" s="143" t="s">
        <v>14</v>
      </c>
      <c r="B49" s="143" t="s">
        <v>1483</v>
      </c>
      <c r="C49" s="147" t="s">
        <v>186</v>
      </c>
      <c r="D49" s="13">
        <v>44613</v>
      </c>
      <c r="E49" s="5" t="s">
        <v>187</v>
      </c>
      <c r="F49" s="135">
        <v>100764</v>
      </c>
      <c r="G49" s="9">
        <v>2008</v>
      </c>
      <c r="H49" s="125" t="s">
        <v>96</v>
      </c>
      <c r="I49" s="125" t="s">
        <v>97</v>
      </c>
      <c r="J49" s="141">
        <v>7847.85</v>
      </c>
      <c r="K49" s="11"/>
      <c r="L49" s="11">
        <v>1386.56</v>
      </c>
      <c r="M49" s="11">
        <v>921</v>
      </c>
      <c r="N49" s="11">
        <f>SUM(J49+L49-M49)</f>
        <v>8313.41</v>
      </c>
      <c r="O49" s="11">
        <f>SUM(N49+500)</f>
        <v>8813.41</v>
      </c>
      <c r="P49" s="11">
        <v>6000</v>
      </c>
      <c r="Q49" s="149" t="s">
        <v>26</v>
      </c>
      <c r="R49" s="12" t="s">
        <v>176</v>
      </c>
    </row>
    <row r="50" spans="1:19" x14ac:dyDescent="0.3">
      <c r="A50" s="142" t="s">
        <v>105</v>
      </c>
      <c r="B50" s="142" t="s">
        <v>1467</v>
      </c>
      <c r="C50" s="147" t="s">
        <v>214</v>
      </c>
      <c r="D50" s="13">
        <v>44633</v>
      </c>
      <c r="E50" s="5" t="s">
        <v>200</v>
      </c>
      <c r="F50" s="8">
        <v>105487</v>
      </c>
      <c r="G50" s="9">
        <v>2011</v>
      </c>
      <c r="H50" s="125" t="s">
        <v>16</v>
      </c>
      <c r="I50" s="125" t="s">
        <v>41</v>
      </c>
      <c r="J50" s="141">
        <v>8919</v>
      </c>
      <c r="K50" s="11"/>
      <c r="L50" s="11">
        <v>491.05</v>
      </c>
      <c r="M50" s="11">
        <v>921</v>
      </c>
      <c r="N50" s="11">
        <f>SUM(J50+L50-M50)</f>
        <v>8489.0499999999993</v>
      </c>
      <c r="O50" s="11">
        <f>SUM(N50+500)</f>
        <v>8989.0499999999993</v>
      </c>
      <c r="P50" s="11">
        <v>5500</v>
      </c>
      <c r="Q50" s="121" t="s">
        <v>26</v>
      </c>
      <c r="R50" s="420" t="s">
        <v>1635</v>
      </c>
    </row>
    <row r="51" spans="1:19" x14ac:dyDescent="0.3">
      <c r="A51" s="143" t="s">
        <v>14</v>
      </c>
      <c r="B51" s="263" t="s">
        <v>1485</v>
      </c>
      <c r="C51" s="434" t="s">
        <v>135</v>
      </c>
      <c r="D51" s="13">
        <v>44515</v>
      </c>
      <c r="E51" s="130" t="s">
        <v>88</v>
      </c>
      <c r="F51" s="21">
        <v>71277</v>
      </c>
      <c r="G51" s="9">
        <v>2012</v>
      </c>
      <c r="H51" s="125" t="s">
        <v>16</v>
      </c>
      <c r="I51" s="125" t="s">
        <v>41</v>
      </c>
      <c r="J51" s="141">
        <v>8353.4500000000007</v>
      </c>
      <c r="K51" s="11"/>
      <c r="L51" s="11">
        <v>2438.6</v>
      </c>
      <c r="M51" s="11">
        <v>921</v>
      </c>
      <c r="N51" s="11">
        <f>SUM(J51+L51-M51)</f>
        <v>9871.0500000000011</v>
      </c>
      <c r="O51" s="11">
        <f>SUM(N51+500)</f>
        <v>10371.050000000001</v>
      </c>
      <c r="P51" s="11">
        <v>8000</v>
      </c>
      <c r="Q51" s="149" t="s">
        <v>1592</v>
      </c>
      <c r="R51" s="12" t="s">
        <v>1638</v>
      </c>
      <c r="S51" t="s">
        <v>1587</v>
      </c>
    </row>
    <row r="52" spans="1:19" x14ac:dyDescent="0.3">
      <c r="A52" s="25" t="s">
        <v>14</v>
      </c>
      <c r="B52" s="118" t="s">
        <v>1471</v>
      </c>
      <c r="C52" s="433" t="s">
        <v>261</v>
      </c>
      <c r="D52" s="7">
        <v>44716</v>
      </c>
      <c r="E52" s="121" t="s">
        <v>258</v>
      </c>
      <c r="F52" s="21">
        <v>143840</v>
      </c>
      <c r="G52" s="9">
        <v>2010</v>
      </c>
      <c r="H52" s="125" t="s">
        <v>16</v>
      </c>
      <c r="I52" s="125" t="s">
        <v>262</v>
      </c>
      <c r="J52" s="141">
        <v>6817.5</v>
      </c>
      <c r="K52" s="11"/>
      <c r="L52" s="11">
        <v>6265.6</v>
      </c>
      <c r="M52" s="11">
        <v>921</v>
      </c>
      <c r="N52" s="11">
        <f>SUM(J52+L52-M52)</f>
        <v>12162.1</v>
      </c>
      <c r="O52" s="11">
        <f>SUM(N52+500)</f>
        <v>12662.1</v>
      </c>
      <c r="P52" s="11">
        <v>8000</v>
      </c>
      <c r="Q52" s="149" t="s">
        <v>1592</v>
      </c>
      <c r="R52" s="12" t="s">
        <v>1638</v>
      </c>
    </row>
    <row r="53" spans="1:19" x14ac:dyDescent="0.3">
      <c r="A53" s="130" t="s">
        <v>14</v>
      </c>
      <c r="B53" s="130" t="s">
        <v>1487</v>
      </c>
      <c r="C53" s="131" t="s">
        <v>114</v>
      </c>
      <c r="D53" s="133">
        <v>44515</v>
      </c>
      <c r="E53" s="130" t="s">
        <v>79</v>
      </c>
      <c r="F53" s="135">
        <v>100974</v>
      </c>
      <c r="G53" s="9">
        <v>2011</v>
      </c>
      <c r="H53" s="125" t="s">
        <v>16</v>
      </c>
      <c r="I53" s="125" t="s">
        <v>17</v>
      </c>
      <c r="J53" s="141">
        <v>9175.7000000000007</v>
      </c>
      <c r="K53" s="11"/>
      <c r="L53" s="11">
        <v>395.54</v>
      </c>
      <c r="M53" s="11">
        <v>921</v>
      </c>
      <c r="N53" s="11">
        <f>SUM(J53+L53-M53)</f>
        <v>8650.2400000000016</v>
      </c>
      <c r="O53" s="11">
        <f>SUM(N53+500)</f>
        <v>9150.2400000000016</v>
      </c>
      <c r="P53" s="11">
        <v>9000</v>
      </c>
      <c r="Q53" s="149" t="s">
        <v>26</v>
      </c>
      <c r="R53" s="377" t="s">
        <v>1621</v>
      </c>
    </row>
    <row r="54" spans="1:19" x14ac:dyDescent="0.3">
      <c r="A54" s="5" t="s">
        <v>14</v>
      </c>
      <c r="B54" s="304" t="s">
        <v>1488</v>
      </c>
      <c r="C54" s="132" t="s">
        <v>196</v>
      </c>
      <c r="D54" s="13">
        <v>44613</v>
      </c>
      <c r="E54" s="130" t="s">
        <v>187</v>
      </c>
      <c r="F54" s="14">
        <v>112211</v>
      </c>
      <c r="G54" s="18">
        <v>2012</v>
      </c>
      <c r="H54" s="126" t="s">
        <v>16</v>
      </c>
      <c r="I54" s="126" t="s">
        <v>17</v>
      </c>
      <c r="J54" s="141">
        <v>8994</v>
      </c>
      <c r="K54" s="11"/>
      <c r="L54" s="11">
        <v>1767.79</v>
      </c>
      <c r="M54" s="11">
        <v>921</v>
      </c>
      <c r="N54" s="11">
        <f>SUM(J54+L54-M54)</f>
        <v>9840.7900000000009</v>
      </c>
      <c r="O54" s="11">
        <f>SUM(N54+500)</f>
        <v>10340.790000000001</v>
      </c>
      <c r="P54" s="11">
        <v>10000</v>
      </c>
      <c r="Q54" s="149" t="s">
        <v>26</v>
      </c>
      <c r="R54" s="377" t="s">
        <v>1621</v>
      </c>
    </row>
    <row r="55" spans="1:19" x14ac:dyDescent="0.3">
      <c r="A55" s="5" t="s">
        <v>14</v>
      </c>
      <c r="B55" s="5" t="s">
        <v>1489</v>
      </c>
      <c r="C55" s="6" t="s">
        <v>218</v>
      </c>
      <c r="D55" s="13">
        <v>44633</v>
      </c>
      <c r="E55" s="130" t="s">
        <v>211</v>
      </c>
      <c r="F55" s="14">
        <v>66499</v>
      </c>
      <c r="G55" s="18">
        <v>2010</v>
      </c>
      <c r="H55" s="126" t="s">
        <v>16</v>
      </c>
      <c r="I55" s="126" t="s">
        <v>17</v>
      </c>
      <c r="J55" s="141">
        <v>9919.75</v>
      </c>
      <c r="K55" s="11"/>
      <c r="L55" s="11">
        <v>448.5</v>
      </c>
      <c r="M55" s="11">
        <v>921</v>
      </c>
      <c r="N55" s="11">
        <f>SUM(J55+L55-M55)</f>
        <v>9447.25</v>
      </c>
      <c r="O55" s="11">
        <f>SUM(N55+500)</f>
        <v>9947.25</v>
      </c>
      <c r="P55" s="11">
        <v>10000</v>
      </c>
      <c r="Q55" s="149" t="s">
        <v>26</v>
      </c>
      <c r="R55" s="377" t="s">
        <v>1621</v>
      </c>
    </row>
    <row r="56" spans="1:19" x14ac:dyDescent="0.3">
      <c r="A56" s="5" t="s">
        <v>14</v>
      </c>
      <c r="B56" s="5" t="s">
        <v>1471</v>
      </c>
      <c r="C56" s="6" t="s">
        <v>159</v>
      </c>
      <c r="D56" s="7">
        <v>44451</v>
      </c>
      <c r="E56" s="130" t="s">
        <v>149</v>
      </c>
      <c r="F56" s="14">
        <v>112571</v>
      </c>
      <c r="G56" s="18">
        <v>2016</v>
      </c>
      <c r="H56" s="126" t="s">
        <v>16</v>
      </c>
      <c r="I56" s="126" t="s">
        <v>160</v>
      </c>
      <c r="J56" s="11">
        <v>21619.85</v>
      </c>
      <c r="K56" s="11"/>
      <c r="L56" s="11">
        <v>1762.18</v>
      </c>
      <c r="M56" s="11">
        <v>921</v>
      </c>
      <c r="N56" s="11">
        <f>SUM(J56+L56-M56)</f>
        <v>22461.03</v>
      </c>
      <c r="O56" s="11">
        <f>SUM(N56+500)</f>
        <v>22961.03</v>
      </c>
      <c r="P56" s="11">
        <v>20000</v>
      </c>
      <c r="Q56" s="149" t="s">
        <v>64</v>
      </c>
      <c r="R56" s="12" t="s">
        <v>19</v>
      </c>
    </row>
    <row r="57" spans="1:19" x14ac:dyDescent="0.3">
      <c r="A57" s="5" t="s">
        <v>14</v>
      </c>
      <c r="B57" s="5" t="s">
        <v>1503</v>
      </c>
      <c r="C57" s="6" t="s">
        <v>80</v>
      </c>
      <c r="D57" s="7">
        <v>44480</v>
      </c>
      <c r="E57" s="130" t="s">
        <v>79</v>
      </c>
      <c r="F57" s="21">
        <v>112004</v>
      </c>
      <c r="G57" s="9">
        <v>2010</v>
      </c>
      <c r="H57" s="125" t="s">
        <v>16</v>
      </c>
      <c r="I57" s="125" t="s">
        <v>17</v>
      </c>
      <c r="J57" s="141">
        <v>8381.0499999999993</v>
      </c>
      <c r="K57" s="11"/>
      <c r="L57" s="11">
        <v>1867.07</v>
      </c>
      <c r="M57" s="11">
        <v>921</v>
      </c>
      <c r="N57" s="11">
        <f>SUM(J57+L57-M57)</f>
        <v>9327.119999999999</v>
      </c>
      <c r="O57" s="11">
        <v>10000</v>
      </c>
      <c r="P57" s="11">
        <v>8000</v>
      </c>
      <c r="Q57" s="149" t="s">
        <v>18</v>
      </c>
      <c r="R57" s="12" t="s">
        <v>19</v>
      </c>
    </row>
    <row r="58" spans="1:19" x14ac:dyDescent="0.3">
      <c r="A58" s="37" t="s">
        <v>105</v>
      </c>
      <c r="B58" s="37" t="s">
        <v>1533</v>
      </c>
      <c r="C58" s="37" t="s">
        <v>1442</v>
      </c>
      <c r="D58" s="249"/>
      <c r="E58" s="397"/>
      <c r="F58" s="249"/>
      <c r="G58" s="37" t="s">
        <v>518</v>
      </c>
      <c r="H58" s="37" t="s">
        <v>29</v>
      </c>
      <c r="I58" s="37" t="s">
        <v>1443</v>
      </c>
      <c r="J58" s="11">
        <v>36175.9</v>
      </c>
      <c r="K58" s="53"/>
      <c r="L58" s="11">
        <v>308.06</v>
      </c>
      <c r="M58" s="11">
        <v>921</v>
      </c>
      <c r="N58" s="11">
        <f>SUM(J58+K58+L58-M58)</f>
        <v>35562.959999999999</v>
      </c>
      <c r="O58" s="11">
        <f>SUM(N58+500)</f>
        <v>36062.959999999999</v>
      </c>
      <c r="Q58" s="149" t="s">
        <v>154</v>
      </c>
      <c r="R58" s="12" t="s">
        <v>1444</v>
      </c>
    </row>
    <row r="59" spans="1:19" x14ac:dyDescent="0.3">
      <c r="A59" s="146" t="s">
        <v>105</v>
      </c>
      <c r="B59" s="146" t="s">
        <v>1471</v>
      </c>
      <c r="C59" s="372" t="s">
        <v>282</v>
      </c>
      <c r="D59" s="261">
        <v>44718</v>
      </c>
      <c r="E59" s="121" t="s">
        <v>277</v>
      </c>
      <c r="F59" s="280">
        <v>60423</v>
      </c>
      <c r="G59" s="28" t="s">
        <v>283</v>
      </c>
      <c r="H59" s="127" t="s">
        <v>212</v>
      </c>
      <c r="I59" s="127" t="s">
        <v>284</v>
      </c>
      <c r="J59" s="11">
        <v>9695</v>
      </c>
      <c r="K59" s="11"/>
      <c r="L59" s="11">
        <v>517.5</v>
      </c>
      <c r="M59" s="11">
        <v>1151</v>
      </c>
      <c r="N59" s="11">
        <f>SUM(J59+L59-M59)</f>
        <v>9061.5</v>
      </c>
      <c r="O59" s="11">
        <f>SUM(N59+500)</f>
        <v>9561.5</v>
      </c>
      <c r="P59" s="11">
        <v>6800</v>
      </c>
      <c r="Q59" s="121" t="s">
        <v>26</v>
      </c>
      <c r="R59" s="419" t="s">
        <v>1634</v>
      </c>
    </row>
    <row r="60" spans="1:19" x14ac:dyDescent="0.3">
      <c r="A60" s="431" t="s">
        <v>105</v>
      </c>
      <c r="B60" s="432" t="s">
        <v>1471</v>
      </c>
      <c r="C60" s="373" t="s">
        <v>289</v>
      </c>
      <c r="D60" s="261" t="s">
        <v>290</v>
      </c>
      <c r="E60" s="121" t="s">
        <v>275</v>
      </c>
      <c r="F60" s="137">
        <v>62840</v>
      </c>
      <c r="G60" s="435" t="s">
        <v>283</v>
      </c>
      <c r="H60" s="436" t="s">
        <v>212</v>
      </c>
      <c r="I60" s="436" t="s">
        <v>284</v>
      </c>
      <c r="J60" s="11">
        <v>10003.799999999999</v>
      </c>
      <c r="K60" s="11"/>
      <c r="L60" s="11">
        <v>562.35</v>
      </c>
      <c r="M60" s="11">
        <v>1151</v>
      </c>
      <c r="N60" s="11">
        <f>SUM(J60+L60-M60)</f>
        <v>9415.15</v>
      </c>
      <c r="O60" s="11">
        <f>SUM(N60+500)</f>
        <v>9915.15</v>
      </c>
      <c r="P60" s="11">
        <v>6800</v>
      </c>
      <c r="Q60" s="121" t="s">
        <v>1582</v>
      </c>
      <c r="R60" s="419" t="s">
        <v>1637</v>
      </c>
    </row>
    <row r="61" spans="1:19" x14ac:dyDescent="0.3">
      <c r="A61" s="130" t="s">
        <v>14</v>
      </c>
      <c r="B61" s="130" t="s">
        <v>1490</v>
      </c>
      <c r="C61" s="6" t="s">
        <v>194</v>
      </c>
      <c r="D61" s="134">
        <v>44613</v>
      </c>
      <c r="E61" s="130" t="s">
        <v>178</v>
      </c>
      <c r="F61" s="135">
        <v>65833</v>
      </c>
      <c r="G61" s="9">
        <v>2011</v>
      </c>
      <c r="H61" s="125" t="s">
        <v>143</v>
      </c>
      <c r="I61" s="125" t="s">
        <v>195</v>
      </c>
      <c r="J61" s="11">
        <v>6737</v>
      </c>
      <c r="K61" s="11"/>
      <c r="L61" s="11">
        <v>1284.71</v>
      </c>
      <c r="M61" s="11">
        <v>1151</v>
      </c>
      <c r="N61" s="11">
        <f>SUM(J61+L61-M61)</f>
        <v>6870.71</v>
      </c>
      <c r="O61" s="11">
        <f>SUM(N61+500)</f>
        <v>7370.71</v>
      </c>
      <c r="P61" s="11">
        <v>7000</v>
      </c>
      <c r="Q61" s="149" t="s">
        <v>1405</v>
      </c>
      <c r="R61" s="12" t="s">
        <v>1642</v>
      </c>
    </row>
    <row r="62" spans="1:19" ht="15.75" customHeight="1" x14ac:dyDescent="0.3"/>
    <row r="63" spans="1:19" ht="15.75" customHeight="1" x14ac:dyDescent="0.3">
      <c r="A63" s="182"/>
      <c r="B63" s="182"/>
      <c r="C63" s="182"/>
      <c r="G63" s="182"/>
      <c r="H63" s="182"/>
      <c r="I63" s="182"/>
      <c r="J63" s="11"/>
      <c r="K63" s="53"/>
      <c r="L63" s="11"/>
      <c r="N63" s="11"/>
      <c r="O63" s="11"/>
      <c r="Q63" s="149"/>
      <c r="R63" s="12"/>
    </row>
    <row r="64" spans="1:19" ht="15.75" customHeight="1" x14ac:dyDescent="0.3"/>
    <row r="65" spans="1:18" ht="15.75" customHeight="1" x14ac:dyDescent="0.35">
      <c r="A65" s="159" t="s">
        <v>1173</v>
      </c>
      <c r="B65" s="159"/>
    </row>
    <row r="66" spans="1:18" ht="15.75" customHeight="1" x14ac:dyDescent="0.3">
      <c r="A66" s="146" t="s">
        <v>105</v>
      </c>
      <c r="B66" s="146"/>
      <c r="C66" s="238" t="s">
        <v>286</v>
      </c>
      <c r="D66" s="151">
        <v>44718</v>
      </c>
      <c r="E66" s="152" t="s">
        <v>277</v>
      </c>
      <c r="F66" s="153">
        <v>88836</v>
      </c>
      <c r="G66" s="150" t="s">
        <v>287</v>
      </c>
      <c r="H66" s="150" t="s">
        <v>29</v>
      </c>
      <c r="I66" s="150" t="s">
        <v>288</v>
      </c>
      <c r="J66" s="141">
        <v>12326</v>
      </c>
      <c r="K66" s="141"/>
      <c r="L66" s="141">
        <f>654.35+95.46+977.5</f>
        <v>1727.31</v>
      </c>
      <c r="M66" s="154"/>
      <c r="N66" s="141">
        <f t="shared" ref="N66:N79" si="0">SUM(J66+L66-M66)</f>
        <v>14053.31</v>
      </c>
      <c r="O66" s="141">
        <f>SUM(N66+500)</f>
        <v>14553.31</v>
      </c>
      <c r="P66" s="154"/>
      <c r="Q66" s="154" t="s">
        <v>311</v>
      </c>
      <c r="R66" s="154" t="s">
        <v>1167</v>
      </c>
    </row>
    <row r="67" spans="1:18" ht="15.75" customHeight="1" x14ac:dyDescent="0.3">
      <c r="A67" s="143" t="s">
        <v>14</v>
      </c>
      <c r="B67" s="143"/>
      <c r="C67" s="233" t="s">
        <v>83</v>
      </c>
      <c r="D67" s="151">
        <v>44480</v>
      </c>
      <c r="E67" s="143" t="s">
        <v>79</v>
      </c>
      <c r="F67" s="155">
        <v>67593</v>
      </c>
      <c r="G67" s="156">
        <v>2013</v>
      </c>
      <c r="H67" s="139" t="s">
        <v>21</v>
      </c>
      <c r="I67" s="139" t="s">
        <v>84</v>
      </c>
      <c r="J67" s="141">
        <v>11203.15</v>
      </c>
      <c r="K67" s="141"/>
      <c r="L67" s="141">
        <v>2835.34</v>
      </c>
      <c r="M67" s="141">
        <v>921</v>
      </c>
      <c r="N67" s="141">
        <f t="shared" si="0"/>
        <v>13117.49</v>
      </c>
      <c r="O67" s="141">
        <v>7000</v>
      </c>
      <c r="P67" s="141">
        <v>7000</v>
      </c>
      <c r="Q67" s="139" t="s">
        <v>57</v>
      </c>
      <c r="R67" s="152" t="s">
        <v>1161</v>
      </c>
    </row>
    <row r="68" spans="1:18" ht="15.75" customHeight="1" x14ac:dyDescent="0.3">
      <c r="A68" s="143" t="s">
        <v>14</v>
      </c>
      <c r="B68" s="143"/>
      <c r="C68" s="233" t="s">
        <v>85</v>
      </c>
      <c r="D68" s="151">
        <v>44480</v>
      </c>
      <c r="E68" s="143" t="s">
        <v>81</v>
      </c>
      <c r="F68" s="155">
        <v>85357</v>
      </c>
      <c r="G68" s="156">
        <v>2012</v>
      </c>
      <c r="H68" s="139" t="s">
        <v>21</v>
      </c>
      <c r="I68" s="139" t="s">
        <v>86</v>
      </c>
      <c r="J68" s="141">
        <v>13570</v>
      </c>
      <c r="K68" s="141"/>
      <c r="L68" s="141">
        <v>933.31</v>
      </c>
      <c r="M68" s="141">
        <v>1151</v>
      </c>
      <c r="N68" s="141">
        <f t="shared" si="0"/>
        <v>13352.31</v>
      </c>
      <c r="O68" s="141">
        <f>SUM(N68+500)</f>
        <v>13852.31</v>
      </c>
      <c r="P68" s="141">
        <v>9000</v>
      </c>
      <c r="Q68" s="139" t="s">
        <v>57</v>
      </c>
      <c r="R68" s="152" t="s">
        <v>1162</v>
      </c>
    </row>
    <row r="69" spans="1:18" ht="15.75" customHeight="1" x14ac:dyDescent="0.3">
      <c r="A69" s="143" t="s">
        <v>14</v>
      </c>
      <c r="B69" s="143"/>
      <c r="C69" s="233" t="s">
        <v>93</v>
      </c>
      <c r="D69" s="151">
        <v>44480</v>
      </c>
      <c r="E69" s="143" t="s">
        <v>81</v>
      </c>
      <c r="F69" s="155">
        <v>109846</v>
      </c>
      <c r="G69" s="156">
        <v>2015</v>
      </c>
      <c r="H69" s="139" t="s">
        <v>37</v>
      </c>
      <c r="I69" s="139" t="s">
        <v>38</v>
      </c>
      <c r="J69" s="141">
        <v>22922</v>
      </c>
      <c r="K69" s="141"/>
      <c r="L69" s="141">
        <v>1500.26</v>
      </c>
      <c r="M69" s="141">
        <v>1151</v>
      </c>
      <c r="N69" s="141">
        <f t="shared" si="0"/>
        <v>23271.26</v>
      </c>
      <c r="O69" s="141">
        <f>SUM(N69+500)</f>
        <v>23771.26</v>
      </c>
      <c r="P69" s="141">
        <v>23000</v>
      </c>
      <c r="Q69" s="139" t="s">
        <v>94</v>
      </c>
      <c r="R69" s="152" t="s">
        <v>1156</v>
      </c>
    </row>
    <row r="70" spans="1:18" ht="15.75" customHeight="1" x14ac:dyDescent="0.3">
      <c r="A70" s="143" t="s">
        <v>14</v>
      </c>
      <c r="B70" s="143"/>
      <c r="C70" s="233" t="s">
        <v>223</v>
      </c>
      <c r="D70" s="158">
        <v>44633</v>
      </c>
      <c r="E70" s="143" t="s">
        <v>211</v>
      </c>
      <c r="F70" s="155">
        <v>114526</v>
      </c>
      <c r="G70" s="156">
        <v>2008</v>
      </c>
      <c r="H70" s="139" t="s">
        <v>96</v>
      </c>
      <c r="I70" s="139" t="s">
        <v>224</v>
      </c>
      <c r="J70" s="141">
        <v>7525.45</v>
      </c>
      <c r="K70" s="141"/>
      <c r="L70" s="141">
        <f>1142.5+1645.8</f>
        <v>2788.3</v>
      </c>
      <c r="M70" s="141"/>
      <c r="N70" s="141">
        <f t="shared" si="0"/>
        <v>10313.75</v>
      </c>
      <c r="O70" s="141">
        <f>SUM(N70+500)</f>
        <v>10813.75</v>
      </c>
      <c r="P70" s="141">
        <v>7000</v>
      </c>
      <c r="Q70" s="140" t="s">
        <v>134</v>
      </c>
      <c r="R70" s="152" t="s">
        <v>1164</v>
      </c>
    </row>
    <row r="71" spans="1:18" ht="15.75" customHeight="1" x14ac:dyDescent="0.3">
      <c r="A71" s="143" t="s">
        <v>14</v>
      </c>
      <c r="B71" s="143"/>
      <c r="C71" s="233" t="s">
        <v>90</v>
      </c>
      <c r="D71" s="151">
        <v>44480</v>
      </c>
      <c r="E71" s="143" t="s">
        <v>79</v>
      </c>
      <c r="F71" s="155">
        <v>82177</v>
      </c>
      <c r="G71" s="156">
        <v>2014</v>
      </c>
      <c r="H71" s="157" t="s">
        <v>37</v>
      </c>
      <c r="I71" s="139" t="s">
        <v>91</v>
      </c>
      <c r="J71" s="141">
        <v>22167</v>
      </c>
      <c r="K71" s="141"/>
      <c r="L71" s="141">
        <v>3598.45</v>
      </c>
      <c r="M71" s="141"/>
      <c r="N71" s="141">
        <f t="shared" si="0"/>
        <v>25765.45</v>
      </c>
      <c r="O71" s="141">
        <v>18000</v>
      </c>
      <c r="P71" s="141">
        <v>18000</v>
      </c>
      <c r="Q71" s="139" t="s">
        <v>57</v>
      </c>
      <c r="R71" s="152" t="s">
        <v>1164</v>
      </c>
    </row>
    <row r="72" spans="1:18" ht="15.75" customHeight="1" x14ac:dyDescent="0.3">
      <c r="A72" s="143" t="s">
        <v>14</v>
      </c>
      <c r="B72" s="143"/>
      <c r="C72" s="233" t="s">
        <v>47</v>
      </c>
      <c r="D72" s="158">
        <v>44213</v>
      </c>
      <c r="E72" s="143" t="s">
        <v>48</v>
      </c>
      <c r="F72" s="155">
        <v>126776</v>
      </c>
      <c r="G72" s="156">
        <v>2010</v>
      </c>
      <c r="H72" s="143" t="s">
        <v>49</v>
      </c>
      <c r="I72" s="139" t="s">
        <v>50</v>
      </c>
      <c r="J72" s="141">
        <v>8087.95</v>
      </c>
      <c r="K72" s="141"/>
      <c r="L72" s="141">
        <v>4218.0600000000004</v>
      </c>
      <c r="M72" s="141"/>
      <c r="N72" s="141">
        <f t="shared" si="0"/>
        <v>12306.01</v>
      </c>
      <c r="O72" s="141">
        <f t="shared" ref="O72:O82" si="1">SUM(N72+500)</f>
        <v>12806.01</v>
      </c>
      <c r="P72" s="141">
        <v>8000</v>
      </c>
      <c r="Q72" s="139" t="s">
        <v>26</v>
      </c>
      <c r="R72" s="152" t="s">
        <v>1196</v>
      </c>
    </row>
    <row r="73" spans="1:18" ht="15.75" customHeight="1" x14ac:dyDescent="0.3">
      <c r="A73" s="5" t="s">
        <v>14</v>
      </c>
      <c r="B73" s="5"/>
      <c r="C73" s="233" t="s">
        <v>137</v>
      </c>
      <c r="D73" s="13">
        <v>44515</v>
      </c>
      <c r="E73" s="5" t="s">
        <v>79</v>
      </c>
      <c r="F73" s="8">
        <v>118880</v>
      </c>
      <c r="G73" s="9">
        <v>2015</v>
      </c>
      <c r="H73" s="5" t="s">
        <v>77</v>
      </c>
      <c r="I73" s="125" t="s">
        <v>138</v>
      </c>
      <c r="J73" s="11">
        <v>17601.75</v>
      </c>
      <c r="K73" s="11"/>
      <c r="L73" s="11">
        <v>1283.1600000000001</v>
      </c>
      <c r="M73" s="11"/>
      <c r="N73" s="11">
        <f t="shared" si="0"/>
        <v>18884.91</v>
      </c>
      <c r="O73" s="11">
        <f t="shared" si="1"/>
        <v>19384.91</v>
      </c>
      <c r="P73" s="11">
        <v>15000</v>
      </c>
      <c r="Q73" s="139" t="s">
        <v>64</v>
      </c>
      <c r="R73" s="112" t="s">
        <v>1197</v>
      </c>
    </row>
    <row r="74" spans="1:18" ht="15.75" customHeight="1" x14ac:dyDescent="0.3">
      <c r="A74" s="143" t="s">
        <v>14</v>
      </c>
      <c r="B74" s="143"/>
      <c r="C74" s="233" t="s">
        <v>237</v>
      </c>
      <c r="D74" s="13">
        <v>44633</v>
      </c>
      <c r="E74" s="5" t="s">
        <v>211</v>
      </c>
      <c r="F74" s="8">
        <v>65795</v>
      </c>
      <c r="G74" s="9">
        <v>2011</v>
      </c>
      <c r="H74" s="5" t="s">
        <v>77</v>
      </c>
      <c r="I74" s="125" t="s">
        <v>158</v>
      </c>
      <c r="J74" s="11">
        <v>7467</v>
      </c>
      <c r="K74" s="11"/>
      <c r="L74" s="11">
        <v>1592.64</v>
      </c>
      <c r="M74" s="11">
        <v>921</v>
      </c>
      <c r="N74" s="11">
        <f t="shared" si="0"/>
        <v>8138.6399999999994</v>
      </c>
      <c r="O74" s="11">
        <f t="shared" si="1"/>
        <v>8638.64</v>
      </c>
      <c r="P74" s="11">
        <v>8638.64</v>
      </c>
      <c r="Q74" s="139" t="s">
        <v>26</v>
      </c>
      <c r="R74" s="12" t="s">
        <v>1198</v>
      </c>
    </row>
    <row r="75" spans="1:18" ht="15.75" customHeight="1" x14ac:dyDescent="0.3">
      <c r="A75" s="5" t="s">
        <v>14</v>
      </c>
      <c r="B75" s="5"/>
      <c r="C75" s="233" t="s">
        <v>177</v>
      </c>
      <c r="D75" s="13">
        <v>44587</v>
      </c>
      <c r="E75" s="5" t="s">
        <v>178</v>
      </c>
      <c r="F75" s="8">
        <v>99810</v>
      </c>
      <c r="G75" s="9">
        <v>2011</v>
      </c>
      <c r="H75" s="5" t="s">
        <v>77</v>
      </c>
      <c r="I75" s="125" t="s">
        <v>78</v>
      </c>
      <c r="J75" s="11">
        <v>8481</v>
      </c>
      <c r="K75" s="11"/>
      <c r="L75" s="11">
        <f>448.5+50+2495.5</f>
        <v>2994</v>
      </c>
      <c r="M75" s="11"/>
      <c r="N75" s="11">
        <f t="shared" si="0"/>
        <v>11475</v>
      </c>
      <c r="O75" s="11">
        <f t="shared" si="1"/>
        <v>11975</v>
      </c>
      <c r="P75" s="11">
        <v>4200</v>
      </c>
      <c r="Q75" s="139" t="s">
        <v>179</v>
      </c>
      <c r="R75" s="12" t="s">
        <v>1199</v>
      </c>
    </row>
    <row r="76" spans="1:18" ht="15.75" customHeight="1" x14ac:dyDescent="0.3">
      <c r="A76" s="142" t="s">
        <v>105</v>
      </c>
      <c r="B76" s="142"/>
      <c r="C76" s="233" t="s">
        <v>165</v>
      </c>
      <c r="D76" s="16">
        <v>44565</v>
      </c>
      <c r="E76" s="5" t="s">
        <v>161</v>
      </c>
      <c r="F76" s="8">
        <v>157464</v>
      </c>
      <c r="G76" s="9">
        <v>2010</v>
      </c>
      <c r="H76" s="125" t="s">
        <v>96</v>
      </c>
      <c r="I76" s="125" t="s">
        <v>97</v>
      </c>
      <c r="J76" s="11">
        <v>11168.01</v>
      </c>
      <c r="K76" s="11"/>
      <c r="L76" s="11">
        <v>786.96</v>
      </c>
      <c r="M76" s="11">
        <v>921</v>
      </c>
      <c r="N76" s="11">
        <f t="shared" si="0"/>
        <v>11033.970000000001</v>
      </c>
      <c r="O76" s="11">
        <f t="shared" si="1"/>
        <v>11533.970000000001</v>
      </c>
      <c r="P76" s="11">
        <v>7000</v>
      </c>
      <c r="Q76" s="149" t="s">
        <v>26</v>
      </c>
      <c r="R76" s="12" t="s">
        <v>1200</v>
      </c>
    </row>
    <row r="77" spans="1:18" ht="15.75" customHeight="1" x14ac:dyDescent="0.3">
      <c r="A77" s="143" t="s">
        <v>14</v>
      </c>
      <c r="B77" s="143"/>
      <c r="C77" s="233" t="s">
        <v>231</v>
      </c>
      <c r="D77" s="13">
        <v>44633</v>
      </c>
      <c r="E77" s="5" t="s">
        <v>211</v>
      </c>
      <c r="F77" s="8">
        <v>85527</v>
      </c>
      <c r="G77" s="9">
        <v>2008</v>
      </c>
      <c r="H77" s="125" t="s">
        <v>96</v>
      </c>
      <c r="I77" s="125" t="s">
        <v>97</v>
      </c>
      <c r="J77" s="11">
        <v>9320</v>
      </c>
      <c r="K77" s="11"/>
      <c r="L77" s="11">
        <v>2064.2199999999998</v>
      </c>
      <c r="M77" s="11">
        <v>921</v>
      </c>
      <c r="N77" s="11">
        <f t="shared" si="0"/>
        <v>10463.219999999999</v>
      </c>
      <c r="O77" s="11">
        <f t="shared" si="1"/>
        <v>10963.22</v>
      </c>
      <c r="P77" s="11">
        <v>7000</v>
      </c>
      <c r="Q77" s="140" t="s">
        <v>26</v>
      </c>
      <c r="R77" s="12" t="s">
        <v>1200</v>
      </c>
    </row>
    <row r="78" spans="1:18" ht="15.75" customHeight="1" x14ac:dyDescent="0.3">
      <c r="A78" s="5" t="s">
        <v>14</v>
      </c>
      <c r="B78" s="130"/>
      <c r="C78" s="239" t="s">
        <v>254</v>
      </c>
      <c r="D78" s="13">
        <v>44633</v>
      </c>
      <c r="E78" s="130" t="s">
        <v>200</v>
      </c>
      <c r="F78" s="21">
        <v>56656</v>
      </c>
      <c r="G78" s="9">
        <v>2016</v>
      </c>
      <c r="H78" s="125" t="s">
        <v>29</v>
      </c>
      <c r="I78" s="125" t="s">
        <v>230</v>
      </c>
      <c r="J78" s="11">
        <v>11037</v>
      </c>
      <c r="K78" s="11"/>
      <c r="L78" s="11">
        <v>2884.62</v>
      </c>
      <c r="M78" s="11"/>
      <c r="N78" s="11">
        <f t="shared" si="0"/>
        <v>13921.619999999999</v>
      </c>
      <c r="O78" s="11">
        <f t="shared" si="1"/>
        <v>14421.619999999999</v>
      </c>
      <c r="P78" s="11">
        <v>5000</v>
      </c>
      <c r="Q78" s="140" t="s">
        <v>179</v>
      </c>
      <c r="R78" s="12" t="s">
        <v>1198</v>
      </c>
    </row>
    <row r="79" spans="1:18" ht="15.75" customHeight="1" x14ac:dyDescent="0.3">
      <c r="A79" s="25" t="s">
        <v>14</v>
      </c>
      <c r="B79" s="25"/>
      <c r="C79" s="240" t="s">
        <v>274</v>
      </c>
      <c r="D79" s="7">
        <v>44686</v>
      </c>
      <c r="E79" s="25" t="s">
        <v>275</v>
      </c>
      <c r="F79" s="135">
        <v>109257</v>
      </c>
      <c r="G79" s="24">
        <v>2007</v>
      </c>
      <c r="H79" s="25" t="s">
        <v>162</v>
      </c>
      <c r="I79" s="25" t="s">
        <v>276</v>
      </c>
      <c r="J79" s="141">
        <v>8830</v>
      </c>
      <c r="K79" s="11"/>
      <c r="L79" s="11">
        <f>1339.18+516.49</f>
        <v>1855.67</v>
      </c>
      <c r="M79" s="11">
        <v>921</v>
      </c>
      <c r="N79" s="11">
        <f t="shared" si="0"/>
        <v>9764.67</v>
      </c>
      <c r="O79" s="11">
        <f t="shared" si="1"/>
        <v>10264.67</v>
      </c>
      <c r="P79" s="11">
        <v>9000</v>
      </c>
      <c r="Q79" s="149" t="s">
        <v>26</v>
      </c>
      <c r="R79" s="12" t="s">
        <v>1374</v>
      </c>
    </row>
    <row r="80" spans="1:18" ht="15.75" customHeight="1" x14ac:dyDescent="0.3">
      <c r="A80" s="142" t="s">
        <v>105</v>
      </c>
      <c r="B80" s="142"/>
      <c r="C80" s="233" t="s">
        <v>148</v>
      </c>
      <c r="D80" s="13">
        <v>44545</v>
      </c>
      <c r="E80" s="5" t="s">
        <v>149</v>
      </c>
      <c r="F80" s="8">
        <v>77733</v>
      </c>
      <c r="G80" s="9">
        <v>2010</v>
      </c>
      <c r="H80" s="5" t="s">
        <v>123</v>
      </c>
      <c r="I80" s="125" t="s">
        <v>150</v>
      </c>
      <c r="J80" s="11">
        <v>12583</v>
      </c>
      <c r="K80" s="11">
        <v>448.5</v>
      </c>
      <c r="L80" s="11">
        <f>1218.12+294.4-K80+203.26</f>
        <v>1267.28</v>
      </c>
      <c r="M80" s="11">
        <v>1151</v>
      </c>
      <c r="N80" s="11">
        <f>SUM(J80+K80+L80-M80)</f>
        <v>13147.78</v>
      </c>
      <c r="O80" s="11">
        <f t="shared" si="1"/>
        <v>13647.78</v>
      </c>
      <c r="P80" s="11">
        <v>10000</v>
      </c>
      <c r="Q80" s="129" t="s">
        <v>64</v>
      </c>
      <c r="R80" s="152" t="s">
        <v>1191</v>
      </c>
    </row>
    <row r="81" spans="1:18" ht="15.75" customHeight="1" x14ac:dyDescent="0.3">
      <c r="A81" s="5" t="s">
        <v>14</v>
      </c>
      <c r="B81" s="5"/>
      <c r="C81" s="233" t="s">
        <v>128</v>
      </c>
      <c r="D81" s="13">
        <v>44515</v>
      </c>
      <c r="E81" s="5" t="s">
        <v>79</v>
      </c>
      <c r="F81" s="8">
        <v>59731</v>
      </c>
      <c r="G81" s="9">
        <v>2011</v>
      </c>
      <c r="H81" s="5" t="s">
        <v>21</v>
      </c>
      <c r="I81" s="125" t="s">
        <v>127</v>
      </c>
      <c r="J81" s="11">
        <v>8548.9500000000007</v>
      </c>
      <c r="K81" s="11">
        <v>414</v>
      </c>
      <c r="L81" s="11">
        <f>2386.49-K81+1558.25</f>
        <v>3530.74</v>
      </c>
      <c r="M81" s="11"/>
      <c r="N81" s="11">
        <f>SUM(J81+K81+L81-M81)</f>
        <v>12493.69</v>
      </c>
      <c r="O81" s="11">
        <f t="shared" si="1"/>
        <v>12993.69</v>
      </c>
      <c r="P81" s="11">
        <v>8000</v>
      </c>
      <c r="Q81" s="129" t="s">
        <v>64</v>
      </c>
      <c r="R81" s="152" t="s">
        <v>1193</v>
      </c>
    </row>
    <row r="82" spans="1:18" ht="15.75" customHeight="1" x14ac:dyDescent="0.3">
      <c r="A82" s="146" t="s">
        <v>14</v>
      </c>
      <c r="B82" s="146"/>
      <c r="C82" s="234" t="s">
        <v>268</v>
      </c>
      <c r="D82" s="7">
        <v>44716</v>
      </c>
      <c r="E82" s="22" t="s">
        <v>258</v>
      </c>
      <c r="F82" s="135">
        <v>129220</v>
      </c>
      <c r="G82" s="9">
        <v>2007</v>
      </c>
      <c r="H82" s="125" t="s">
        <v>96</v>
      </c>
      <c r="I82" s="125" t="s">
        <v>269</v>
      </c>
      <c r="J82" s="141">
        <v>6012.5</v>
      </c>
      <c r="K82" s="11">
        <f>350*1.15</f>
        <v>402.49999999999994</v>
      </c>
      <c r="L82" s="11">
        <f>2255.01+264.5-K82</f>
        <v>2117.0100000000002</v>
      </c>
      <c r="M82" s="11"/>
      <c r="N82" s="11">
        <f>SUM(J82+K82+L82-M82)</f>
        <v>8532.01</v>
      </c>
      <c r="O82" s="11">
        <f t="shared" si="1"/>
        <v>9032.01</v>
      </c>
      <c r="P82" s="11">
        <v>5000</v>
      </c>
      <c r="Q82" s="140" t="s">
        <v>26</v>
      </c>
      <c r="R82" s="152" t="s">
        <v>1439</v>
      </c>
    </row>
    <row r="83" spans="1:18" ht="15.75" customHeight="1" x14ac:dyDescent="0.3">
      <c r="A83" s="113" t="s">
        <v>1419</v>
      </c>
      <c r="B83" s="113"/>
      <c r="C83" s="237" t="s">
        <v>1418</v>
      </c>
      <c r="G83" t="s">
        <v>838</v>
      </c>
      <c r="H83" t="s">
        <v>96</v>
      </c>
      <c r="I83" t="s">
        <v>97</v>
      </c>
      <c r="R83" s="154"/>
    </row>
    <row r="84" spans="1:18" ht="15.75" customHeight="1" x14ac:dyDescent="0.3">
      <c r="A84" s="143" t="s">
        <v>14</v>
      </c>
      <c r="B84" s="143"/>
      <c r="C84" s="233" t="s">
        <v>133</v>
      </c>
      <c r="D84" s="13">
        <v>44515</v>
      </c>
      <c r="E84" s="5" t="s">
        <v>79</v>
      </c>
      <c r="F84" s="8">
        <v>52366</v>
      </c>
      <c r="G84" s="9">
        <v>2011</v>
      </c>
      <c r="H84" s="5" t="s">
        <v>21</v>
      </c>
      <c r="I84" s="125" t="s">
        <v>109</v>
      </c>
      <c r="J84" s="141">
        <v>11686.5</v>
      </c>
      <c r="K84" s="11"/>
      <c r="L84" s="11">
        <v>1042.25</v>
      </c>
      <c r="M84" s="11">
        <v>1151</v>
      </c>
      <c r="N84" s="11">
        <f>SUM(J84+L84-M84)</f>
        <v>11577.75</v>
      </c>
      <c r="O84" s="11">
        <f t="shared" ref="O84:O91" si="2">SUM(N84+500)</f>
        <v>12077.75</v>
      </c>
      <c r="P84" s="11">
        <v>11000</v>
      </c>
      <c r="Q84" s="129" t="s">
        <v>64</v>
      </c>
      <c r="R84" s="152" t="s">
        <v>132</v>
      </c>
    </row>
    <row r="85" spans="1:18" ht="15.75" customHeight="1" x14ac:dyDescent="0.3">
      <c r="A85" t="s">
        <v>1431</v>
      </c>
      <c r="C85" s="236" t="s">
        <v>1277</v>
      </c>
      <c r="G85" s="108">
        <v>2012</v>
      </c>
      <c r="H85" s="241" t="s">
        <v>696</v>
      </c>
      <c r="I85" s="241" t="s">
        <v>1430</v>
      </c>
      <c r="J85" s="11">
        <v>11873.6</v>
      </c>
      <c r="L85" s="218">
        <v>5906.61</v>
      </c>
      <c r="N85" s="11">
        <f>SUM(J85+L85-M85)</f>
        <v>17780.21</v>
      </c>
      <c r="O85" s="11">
        <f t="shared" si="2"/>
        <v>18280.21</v>
      </c>
      <c r="R85" s="154" t="s">
        <v>1429</v>
      </c>
    </row>
    <row r="86" spans="1:18" ht="15.75" customHeight="1" x14ac:dyDescent="0.3">
      <c r="A86" s="5" t="s">
        <v>14</v>
      </c>
      <c r="B86" s="5"/>
      <c r="C86" s="233" t="s">
        <v>20</v>
      </c>
      <c r="D86" s="7">
        <v>43902</v>
      </c>
      <c r="E86" s="5" t="s">
        <v>15</v>
      </c>
      <c r="F86" s="135">
        <v>44919</v>
      </c>
      <c r="G86" s="9">
        <v>2009</v>
      </c>
      <c r="H86" s="5" t="s">
        <v>21</v>
      </c>
      <c r="I86" s="125" t="s">
        <v>22</v>
      </c>
      <c r="J86" s="141">
        <v>9051.65</v>
      </c>
      <c r="K86" s="11">
        <v>414</v>
      </c>
      <c r="L86" s="11">
        <f>1631.16-K86+214.72</f>
        <v>1431.88</v>
      </c>
      <c r="M86" s="11"/>
      <c r="N86" s="11">
        <f>SUM(J86+K86+L86-M86)</f>
        <v>10897.529999999999</v>
      </c>
      <c r="O86" s="11">
        <f t="shared" si="2"/>
        <v>11397.529999999999</v>
      </c>
      <c r="P86" s="11">
        <v>10000</v>
      </c>
      <c r="Q86" s="129" t="s">
        <v>94</v>
      </c>
      <c r="R86" s="152" t="s">
        <v>1440</v>
      </c>
    </row>
    <row r="87" spans="1:18" ht="15.75" customHeight="1" x14ac:dyDescent="0.3">
      <c r="A87" s="5" t="s">
        <v>14</v>
      </c>
      <c r="B87" s="130"/>
      <c r="C87" s="302" t="s">
        <v>1206</v>
      </c>
      <c r="D87" s="13"/>
      <c r="E87" s="130"/>
      <c r="F87" s="21"/>
      <c r="G87" s="9" t="s">
        <v>280</v>
      </c>
      <c r="H87" s="125" t="s">
        <v>77</v>
      </c>
      <c r="I87" s="125" t="s">
        <v>138</v>
      </c>
      <c r="J87" s="11">
        <v>13263.95</v>
      </c>
      <c r="K87" s="11">
        <v>402.5</v>
      </c>
      <c r="L87" s="11">
        <f>820.86+92</f>
        <v>912.86</v>
      </c>
      <c r="M87" s="11"/>
      <c r="N87" s="11">
        <f>SUM(J87+K87+L87-M87)</f>
        <v>14579.310000000001</v>
      </c>
      <c r="O87" s="11">
        <f t="shared" si="2"/>
        <v>15079.310000000001</v>
      </c>
      <c r="P87" s="11">
        <v>12950</v>
      </c>
      <c r="Q87" s="149" t="s">
        <v>113</v>
      </c>
      <c r="R87" s="152" t="s">
        <v>1207</v>
      </c>
    </row>
    <row r="88" spans="1:18" ht="15.75" customHeight="1" x14ac:dyDescent="0.3">
      <c r="A88" s="5" t="s">
        <v>14</v>
      </c>
      <c r="B88" s="130"/>
      <c r="C88" s="239" t="s">
        <v>111</v>
      </c>
      <c r="D88" s="13">
        <v>44515</v>
      </c>
      <c r="E88" s="130" t="s">
        <v>79</v>
      </c>
      <c r="F88" s="21">
        <v>91416</v>
      </c>
      <c r="G88" s="9">
        <v>2010</v>
      </c>
      <c r="H88" s="125" t="s">
        <v>16</v>
      </c>
      <c r="I88" s="125" t="s">
        <v>112</v>
      </c>
      <c r="J88" s="141">
        <v>9066.4500000000007</v>
      </c>
      <c r="K88" s="11"/>
      <c r="L88" s="11">
        <v>2047.5</v>
      </c>
      <c r="M88" s="11">
        <v>921</v>
      </c>
      <c r="N88" s="11">
        <f>SUM(J88+L88-M88)</f>
        <v>10192.950000000001</v>
      </c>
      <c r="O88" s="11">
        <f t="shared" si="2"/>
        <v>10692.95</v>
      </c>
      <c r="P88" s="11">
        <v>12096.5</v>
      </c>
      <c r="Q88" s="149" t="s">
        <v>113</v>
      </c>
      <c r="R88" s="152" t="s">
        <v>1202</v>
      </c>
    </row>
    <row r="89" spans="1:18" ht="15.75" customHeight="1" x14ac:dyDescent="0.3">
      <c r="A89" s="130" t="s">
        <v>14</v>
      </c>
      <c r="B89" s="130"/>
      <c r="C89" s="239" t="s">
        <v>229</v>
      </c>
      <c r="D89" s="133">
        <v>44633</v>
      </c>
      <c r="E89" s="130" t="s">
        <v>211</v>
      </c>
      <c r="F89" s="135">
        <v>91401</v>
      </c>
      <c r="G89" s="9">
        <v>2014</v>
      </c>
      <c r="H89" s="125" t="s">
        <v>29</v>
      </c>
      <c r="I89" s="125" t="s">
        <v>230</v>
      </c>
      <c r="J89" s="11">
        <v>8776.65</v>
      </c>
      <c r="K89" s="11"/>
      <c r="L89" s="11">
        <v>1026.7</v>
      </c>
      <c r="M89" s="11">
        <v>921</v>
      </c>
      <c r="N89" s="11">
        <f>SUM(J89+L89-M89)</f>
        <v>8882.35</v>
      </c>
      <c r="O89" s="11">
        <f t="shared" si="2"/>
        <v>9382.35</v>
      </c>
      <c r="P89" s="11">
        <v>9532.7000000000007</v>
      </c>
      <c r="Q89" s="140" t="s">
        <v>113</v>
      </c>
      <c r="R89" s="152" t="s">
        <v>1201</v>
      </c>
    </row>
    <row r="90" spans="1:18" ht="15.75" customHeight="1" x14ac:dyDescent="0.3">
      <c r="A90" s="5" t="s">
        <v>14</v>
      </c>
      <c r="B90" s="5"/>
      <c r="C90" s="233" t="s">
        <v>166</v>
      </c>
      <c r="D90" s="7">
        <v>44743</v>
      </c>
      <c r="E90" s="5" t="s">
        <v>167</v>
      </c>
      <c r="F90" s="135">
        <v>91563</v>
      </c>
      <c r="G90" s="9">
        <v>2016</v>
      </c>
      <c r="H90" s="5" t="s">
        <v>77</v>
      </c>
      <c r="I90" s="125" t="s">
        <v>168</v>
      </c>
      <c r="J90" s="141">
        <v>18740.25</v>
      </c>
      <c r="K90" s="11">
        <v>448.5</v>
      </c>
      <c r="L90" s="11">
        <f>3294.35+57.5-K90+319</f>
        <v>3222.35</v>
      </c>
      <c r="M90" s="11"/>
      <c r="N90" s="11">
        <f>SUM(J90+K90+L90-M90)</f>
        <v>22411.1</v>
      </c>
      <c r="O90" s="11">
        <f t="shared" si="2"/>
        <v>22911.1</v>
      </c>
      <c r="P90" s="11">
        <v>16000</v>
      </c>
      <c r="Q90" s="139" t="s">
        <v>26</v>
      </c>
      <c r="R90" s="152" t="s">
        <v>1386</v>
      </c>
    </row>
    <row r="91" spans="1:18" ht="15.75" customHeight="1" x14ac:dyDescent="0.3">
      <c r="A91" t="s">
        <v>14</v>
      </c>
      <c r="C91" s="235" t="s">
        <v>1454</v>
      </c>
      <c r="G91" t="s">
        <v>287</v>
      </c>
      <c r="H91" t="s">
        <v>77</v>
      </c>
      <c r="I91" t="s">
        <v>138</v>
      </c>
      <c r="J91" s="11">
        <v>11264.1</v>
      </c>
      <c r="L91" s="53">
        <v>1719.25</v>
      </c>
      <c r="N91" s="11">
        <f>SUM(J91+K91+L91-M91)</f>
        <v>12983.35</v>
      </c>
      <c r="O91" s="11">
        <f t="shared" si="2"/>
        <v>13483.35</v>
      </c>
      <c r="P91" s="103">
        <v>12500</v>
      </c>
      <c r="Q91" s="149" t="s">
        <v>94</v>
      </c>
      <c r="R91" s="279" t="s">
        <v>1393</v>
      </c>
    </row>
    <row r="92" spans="1:18" ht="15.75" customHeight="1" x14ac:dyDescent="0.3">
      <c r="A92" t="s">
        <v>14</v>
      </c>
      <c r="C92" s="235" t="s">
        <v>1455</v>
      </c>
      <c r="G92" t="s">
        <v>278</v>
      </c>
      <c r="H92" t="s">
        <v>123</v>
      </c>
      <c r="I92" t="s">
        <v>1392</v>
      </c>
      <c r="J92" s="180">
        <v>19827.099999999999</v>
      </c>
      <c r="L92" s="168">
        <v>1011.89</v>
      </c>
      <c r="N92" s="168">
        <f>SUM(J92+L92)</f>
        <v>20838.989999999998</v>
      </c>
      <c r="O92" s="104">
        <f>+N92+500</f>
        <v>21338.989999999998</v>
      </c>
      <c r="R92" t="s">
        <v>1456</v>
      </c>
    </row>
    <row r="93" spans="1:18" ht="15.75" customHeight="1" x14ac:dyDescent="0.3">
      <c r="A93" s="5" t="s">
        <v>14</v>
      </c>
      <c r="B93" s="5"/>
      <c r="C93" s="144" t="s">
        <v>146</v>
      </c>
      <c r="D93" s="13">
        <v>44515</v>
      </c>
      <c r="E93" s="5" t="s">
        <v>81</v>
      </c>
      <c r="F93" s="8">
        <v>86956</v>
      </c>
      <c r="G93" s="9">
        <v>2013</v>
      </c>
      <c r="H93" s="5" t="s">
        <v>21</v>
      </c>
      <c r="I93" s="125" t="s">
        <v>84</v>
      </c>
      <c r="J93" s="11">
        <v>10152.049999999999</v>
      </c>
      <c r="K93" s="11">
        <v>414</v>
      </c>
      <c r="L93" s="11">
        <f>1163.8+1171.28</f>
        <v>2335.08</v>
      </c>
      <c r="M93" s="11"/>
      <c r="N93" s="11">
        <f>SUM(J93+K93+L93-M93)</f>
        <v>12901.13</v>
      </c>
      <c r="O93" s="11">
        <f>SUM(N93+500)</f>
        <v>13401.13</v>
      </c>
      <c r="P93" s="11"/>
      <c r="Q93" s="246" t="s">
        <v>64</v>
      </c>
      <c r="R93" s="12" t="s">
        <v>1193</v>
      </c>
    </row>
    <row r="94" spans="1:18" ht="15.75" customHeight="1" x14ac:dyDescent="0.3">
      <c r="A94" s="5" t="s">
        <v>14</v>
      </c>
      <c r="B94" s="5" t="s">
        <v>1504</v>
      </c>
      <c r="C94" s="6" t="s">
        <v>139</v>
      </c>
      <c r="D94" s="134">
        <v>44515</v>
      </c>
      <c r="E94" s="130" t="s">
        <v>79</v>
      </c>
      <c r="F94" s="135">
        <v>61700</v>
      </c>
      <c r="G94" s="9">
        <v>2013</v>
      </c>
      <c r="H94" s="5" t="s">
        <v>21</v>
      </c>
      <c r="I94" s="125" t="s">
        <v>140</v>
      </c>
      <c r="J94" s="141">
        <v>21382.95</v>
      </c>
      <c r="K94" s="11"/>
      <c r="L94" s="11">
        <v>5266.51</v>
      </c>
      <c r="M94" s="11">
        <v>1151</v>
      </c>
      <c r="N94" s="11">
        <f>SUM(J94+L94-M94)</f>
        <v>25498.46</v>
      </c>
      <c r="O94" s="11">
        <f>SUM(N94+500)</f>
        <v>25998.46</v>
      </c>
      <c r="P94" s="11">
        <v>26413.01</v>
      </c>
      <c r="Q94" s="122" t="s">
        <v>1223</v>
      </c>
    </row>
    <row r="95" spans="1:18" ht="15.75" customHeight="1" x14ac:dyDescent="0.3">
      <c r="A95" s="142" t="s">
        <v>105</v>
      </c>
      <c r="B95" s="142" t="s">
        <v>1471</v>
      </c>
      <c r="C95" s="333" t="s">
        <v>250</v>
      </c>
      <c r="G95" s="9">
        <v>2013</v>
      </c>
      <c r="H95" s="125" t="s">
        <v>96</v>
      </c>
      <c r="I95" s="125" t="s">
        <v>241</v>
      </c>
      <c r="J95" s="141">
        <v>13735</v>
      </c>
      <c r="K95" s="11">
        <v>402.49999999999994</v>
      </c>
      <c r="L95" s="11">
        <f>1344.98+80.5</f>
        <v>1425.48</v>
      </c>
      <c r="M95" s="11"/>
      <c r="N95" s="11">
        <v>15482.48</v>
      </c>
      <c r="O95" s="11">
        <v>15982.48</v>
      </c>
      <c r="P95" s="11"/>
      <c r="Q95" s="139" t="s">
        <v>26</v>
      </c>
      <c r="R95" t="s">
        <v>1559</v>
      </c>
    </row>
    <row r="96" spans="1:18" ht="15.75" customHeight="1" x14ac:dyDescent="0.3">
      <c r="A96" s="142" t="s">
        <v>105</v>
      </c>
      <c r="B96" s="142" t="s">
        <v>1466</v>
      </c>
      <c r="C96" s="333" t="s">
        <v>106</v>
      </c>
      <c r="D96" s="13">
        <v>44515</v>
      </c>
      <c r="E96" s="5" t="s">
        <v>88</v>
      </c>
      <c r="F96" s="14">
        <v>122400</v>
      </c>
      <c r="G96" s="9">
        <v>2006</v>
      </c>
      <c r="H96" s="5" t="s">
        <v>77</v>
      </c>
      <c r="I96" s="125" t="s">
        <v>107</v>
      </c>
      <c r="J96" s="141">
        <v>8796.2000000000007</v>
      </c>
      <c r="K96" s="11"/>
      <c r="L96" s="11">
        <f>1124.51+80.5</f>
        <v>1205.01</v>
      </c>
      <c r="M96" s="11"/>
      <c r="N96" s="11">
        <f>SUM(J96+L96-M96)</f>
        <v>10001.210000000001</v>
      </c>
      <c r="O96" s="11">
        <f t="shared" ref="O96:O113" si="3">SUM(N96+500)</f>
        <v>10501.210000000001</v>
      </c>
      <c r="P96" s="11">
        <v>4000</v>
      </c>
      <c r="Q96" s="246" t="s">
        <v>26</v>
      </c>
      <c r="R96" t="s">
        <v>1558</v>
      </c>
    </row>
    <row r="97" spans="1:19" ht="15.75" customHeight="1" x14ac:dyDescent="0.3">
      <c r="A97" s="143" t="s">
        <v>14</v>
      </c>
      <c r="B97" s="143" t="s">
        <v>1476</v>
      </c>
      <c r="C97" s="333" t="s">
        <v>104</v>
      </c>
      <c r="D97" s="13">
        <v>44515</v>
      </c>
      <c r="E97" s="5" t="s">
        <v>79</v>
      </c>
      <c r="F97" s="8">
        <v>71298</v>
      </c>
      <c r="G97" s="9">
        <v>2010</v>
      </c>
      <c r="H97" s="5" t="s">
        <v>49</v>
      </c>
      <c r="I97" s="125" t="s">
        <v>52</v>
      </c>
      <c r="J97" s="141">
        <v>13533.05</v>
      </c>
      <c r="K97" s="11">
        <f>270*1.15</f>
        <v>310.5</v>
      </c>
      <c r="L97" s="11">
        <f>1725.25-K97+80.5</f>
        <v>1495.25</v>
      </c>
      <c r="M97" s="11"/>
      <c r="N97" s="11">
        <f>SUM(J97+K97+L97-M97)</f>
        <v>15338.8</v>
      </c>
      <c r="O97" s="11">
        <f t="shared" si="3"/>
        <v>15838.8</v>
      </c>
      <c r="P97" s="11">
        <v>13000</v>
      </c>
      <c r="Q97" s="129" t="s">
        <v>26</v>
      </c>
      <c r="R97" t="s">
        <v>1560</v>
      </c>
    </row>
    <row r="98" spans="1:19" ht="15.75" customHeight="1" x14ac:dyDescent="0.3">
      <c r="A98" s="143" t="s">
        <v>14</v>
      </c>
      <c r="B98" s="143" t="s">
        <v>1477</v>
      </c>
      <c r="C98" s="333" t="s">
        <v>190</v>
      </c>
      <c r="D98" s="13">
        <v>44613</v>
      </c>
      <c r="E98" s="5" t="s">
        <v>187</v>
      </c>
      <c r="F98" s="8">
        <v>81182</v>
      </c>
      <c r="G98" s="9">
        <v>2008</v>
      </c>
      <c r="H98" s="5" t="s">
        <v>49</v>
      </c>
      <c r="I98" s="125" t="s">
        <v>52</v>
      </c>
      <c r="J98" s="141">
        <v>10792.6</v>
      </c>
      <c r="K98" s="11"/>
      <c r="L98" s="11">
        <v>671</v>
      </c>
      <c r="M98" s="11">
        <v>921</v>
      </c>
      <c r="N98" s="11">
        <f t="shared" ref="N98:N107" si="4">SUM(J98+L98-M98)</f>
        <v>10542.6</v>
      </c>
      <c r="O98" s="11">
        <f t="shared" si="3"/>
        <v>11042.6</v>
      </c>
      <c r="P98" s="11">
        <v>8000</v>
      </c>
      <c r="Q98" s="139" t="s">
        <v>26</v>
      </c>
      <c r="R98" t="s">
        <v>1559</v>
      </c>
    </row>
    <row r="99" spans="1:19" ht="15.75" customHeight="1" x14ac:dyDescent="0.3">
      <c r="A99" s="5" t="s">
        <v>14</v>
      </c>
      <c r="B99" s="5" t="s">
        <v>1478</v>
      </c>
      <c r="C99" s="333" t="s">
        <v>118</v>
      </c>
      <c r="D99" s="13">
        <v>44515</v>
      </c>
      <c r="E99" s="5" t="s">
        <v>88</v>
      </c>
      <c r="F99" s="135">
        <v>71350</v>
      </c>
      <c r="G99" s="9">
        <v>2008</v>
      </c>
      <c r="H99" s="5" t="s">
        <v>49</v>
      </c>
      <c r="I99" s="125" t="s">
        <v>119</v>
      </c>
      <c r="J99" s="141">
        <v>8164.85</v>
      </c>
      <c r="K99" s="11"/>
      <c r="L99" s="11">
        <f>432.34+80.5</f>
        <v>512.83999999999992</v>
      </c>
      <c r="M99" s="11">
        <v>921</v>
      </c>
      <c r="N99" s="11">
        <f t="shared" si="4"/>
        <v>7756.6900000000005</v>
      </c>
      <c r="O99" s="11">
        <f t="shared" si="3"/>
        <v>8256.69</v>
      </c>
      <c r="P99" s="11">
        <v>7000</v>
      </c>
      <c r="Q99" s="139" t="s">
        <v>26</v>
      </c>
      <c r="R99" t="s">
        <v>1561</v>
      </c>
    </row>
    <row r="100" spans="1:19" ht="15.75" customHeight="1" x14ac:dyDescent="0.3">
      <c r="A100" s="5" t="s">
        <v>14</v>
      </c>
      <c r="B100" s="5" t="s">
        <v>1479</v>
      </c>
      <c r="C100" s="333" t="s">
        <v>120</v>
      </c>
      <c r="D100" s="13">
        <v>44515</v>
      </c>
      <c r="E100" s="5" t="s">
        <v>88</v>
      </c>
      <c r="F100" s="135">
        <v>115162</v>
      </c>
      <c r="G100" s="9">
        <v>2013</v>
      </c>
      <c r="H100" s="5" t="s">
        <v>49</v>
      </c>
      <c r="I100" s="125" t="s">
        <v>119</v>
      </c>
      <c r="J100" s="141">
        <v>9796.7000000000007</v>
      </c>
      <c r="K100" s="11"/>
      <c r="L100" s="11">
        <f>1269.94+80.5</f>
        <v>1350.44</v>
      </c>
      <c r="M100" s="11">
        <v>921</v>
      </c>
      <c r="N100" s="11">
        <f t="shared" si="4"/>
        <v>10226.140000000001</v>
      </c>
      <c r="O100" s="11">
        <f t="shared" si="3"/>
        <v>10726.140000000001</v>
      </c>
      <c r="P100" s="11">
        <v>9000</v>
      </c>
      <c r="Q100" s="139" t="s">
        <v>26</v>
      </c>
      <c r="R100" t="s">
        <v>1561</v>
      </c>
    </row>
    <row r="101" spans="1:19" ht="15.75" customHeight="1" x14ac:dyDescent="0.3">
      <c r="A101" s="5" t="s">
        <v>14</v>
      </c>
      <c r="B101" s="130" t="s">
        <v>1471</v>
      </c>
      <c r="C101" s="346" t="s">
        <v>144</v>
      </c>
      <c r="D101" s="13">
        <v>44515</v>
      </c>
      <c r="E101" s="5" t="s">
        <v>88</v>
      </c>
      <c r="F101" s="135">
        <v>117673</v>
      </c>
      <c r="G101" s="9">
        <v>2012</v>
      </c>
      <c r="H101" s="5" t="s">
        <v>49</v>
      </c>
      <c r="I101" s="125" t="s">
        <v>119</v>
      </c>
      <c r="J101" s="141">
        <v>6497.35</v>
      </c>
      <c r="K101" s="11"/>
      <c r="L101" s="11">
        <f>2438+80.5</f>
        <v>2518.5</v>
      </c>
      <c r="M101" s="11">
        <v>921</v>
      </c>
      <c r="N101" s="11">
        <f t="shared" si="4"/>
        <v>8094.85</v>
      </c>
      <c r="O101" s="11">
        <f t="shared" si="3"/>
        <v>8594.85</v>
      </c>
      <c r="P101" s="11">
        <v>9000</v>
      </c>
      <c r="Q101" s="139" t="s">
        <v>26</v>
      </c>
      <c r="R101" t="s">
        <v>1563</v>
      </c>
    </row>
    <row r="102" spans="1:19" ht="15.75" customHeight="1" x14ac:dyDescent="0.3">
      <c r="A102" s="5" t="s">
        <v>14</v>
      </c>
      <c r="B102" s="5" t="s">
        <v>1523</v>
      </c>
      <c r="C102" s="333" t="s">
        <v>232</v>
      </c>
      <c r="D102" s="13">
        <v>44633</v>
      </c>
      <c r="E102" s="5" t="s">
        <v>211</v>
      </c>
      <c r="F102" s="8">
        <v>94034</v>
      </c>
      <c r="G102" s="9">
        <v>2008</v>
      </c>
      <c r="H102" s="5" t="s">
        <v>49</v>
      </c>
      <c r="I102" s="125" t="s">
        <v>119</v>
      </c>
      <c r="J102" s="141">
        <v>7765.8</v>
      </c>
      <c r="K102" s="11"/>
      <c r="L102" s="11">
        <f>993.84+80.5</f>
        <v>1074.3400000000001</v>
      </c>
      <c r="M102" s="11">
        <v>921</v>
      </c>
      <c r="N102" s="11">
        <f t="shared" si="4"/>
        <v>7919.1399999999994</v>
      </c>
      <c r="O102" s="11">
        <f t="shared" si="3"/>
        <v>8419.14</v>
      </c>
      <c r="P102" s="11">
        <v>7000</v>
      </c>
      <c r="Q102" s="139" t="s">
        <v>1592</v>
      </c>
      <c r="R102" t="s">
        <v>1562</v>
      </c>
    </row>
    <row r="103" spans="1:19" ht="15.75" customHeight="1" x14ac:dyDescent="0.3">
      <c r="A103" s="5" t="s">
        <v>14</v>
      </c>
      <c r="B103" s="5" t="s">
        <v>1482</v>
      </c>
      <c r="C103" s="333" t="s">
        <v>99</v>
      </c>
      <c r="D103" s="7">
        <v>44480</v>
      </c>
      <c r="E103" s="5" t="s">
        <v>79</v>
      </c>
      <c r="F103" s="8">
        <v>143994</v>
      </c>
      <c r="G103" s="9">
        <v>2008</v>
      </c>
      <c r="H103" s="125" t="s">
        <v>96</v>
      </c>
      <c r="I103" s="125" t="s">
        <v>100</v>
      </c>
      <c r="J103" s="141">
        <v>8680.0499999999993</v>
      </c>
      <c r="K103" s="11"/>
      <c r="L103" s="11">
        <f>1011+80.5</f>
        <v>1091.5</v>
      </c>
      <c r="M103" s="11">
        <v>921</v>
      </c>
      <c r="N103" s="11">
        <f t="shared" si="4"/>
        <v>8850.5499999999993</v>
      </c>
      <c r="O103" s="11">
        <f t="shared" si="3"/>
        <v>9350.5499999999993</v>
      </c>
      <c r="P103" s="11">
        <v>11000</v>
      </c>
      <c r="Q103" s="139" t="s">
        <v>26</v>
      </c>
      <c r="R103" t="s">
        <v>1564</v>
      </c>
    </row>
    <row r="104" spans="1:19" ht="15.75" customHeight="1" x14ac:dyDescent="0.3">
      <c r="A104" s="143" t="s">
        <v>14</v>
      </c>
      <c r="B104" s="143" t="s">
        <v>1484</v>
      </c>
      <c r="C104" s="333" t="s">
        <v>243</v>
      </c>
      <c r="D104" s="13">
        <v>44633</v>
      </c>
      <c r="E104" s="5" t="s">
        <v>211</v>
      </c>
      <c r="F104" s="135">
        <v>136661</v>
      </c>
      <c r="G104" s="9">
        <v>2008</v>
      </c>
      <c r="H104" s="125" t="s">
        <v>96</v>
      </c>
      <c r="I104" s="125" t="s">
        <v>97</v>
      </c>
      <c r="J104" s="141">
        <v>8713.4</v>
      </c>
      <c r="K104" s="11"/>
      <c r="L104" s="11">
        <f>829.07+80.5</f>
        <v>909.57</v>
      </c>
      <c r="M104" s="11">
        <v>921</v>
      </c>
      <c r="N104" s="11">
        <f t="shared" si="4"/>
        <v>8701.9699999999993</v>
      </c>
      <c r="O104" s="11">
        <f t="shared" si="3"/>
        <v>9201.9699999999993</v>
      </c>
      <c r="P104" s="11">
        <v>7000</v>
      </c>
      <c r="Q104" s="139" t="s">
        <v>26</v>
      </c>
      <c r="R104" t="s">
        <v>1565</v>
      </c>
    </row>
    <row r="105" spans="1:19" ht="15.75" customHeight="1" x14ac:dyDescent="0.3">
      <c r="A105" s="142" t="s">
        <v>105</v>
      </c>
      <c r="B105" s="142" t="s">
        <v>1469</v>
      </c>
      <c r="C105" s="333" t="s">
        <v>253</v>
      </c>
      <c r="D105" s="13">
        <v>44633</v>
      </c>
      <c r="E105" s="5" t="s">
        <v>228</v>
      </c>
      <c r="F105" s="8">
        <v>106905</v>
      </c>
      <c r="G105" s="9">
        <v>2012</v>
      </c>
      <c r="H105" s="125" t="s">
        <v>16</v>
      </c>
      <c r="I105" s="125" t="s">
        <v>41</v>
      </c>
      <c r="J105" s="141">
        <v>10213</v>
      </c>
      <c r="K105" s="11"/>
      <c r="L105" s="11">
        <v>524.98</v>
      </c>
      <c r="M105" s="11">
        <v>921</v>
      </c>
      <c r="N105" s="11">
        <f t="shared" si="4"/>
        <v>9816.98</v>
      </c>
      <c r="O105" s="11">
        <f t="shared" si="3"/>
        <v>10316.98</v>
      </c>
      <c r="P105" s="11">
        <v>8000</v>
      </c>
      <c r="Q105" s="139" t="s">
        <v>26</v>
      </c>
      <c r="R105" t="s">
        <v>1565</v>
      </c>
    </row>
    <row r="106" spans="1:19" ht="15.75" customHeight="1" x14ac:dyDescent="0.3">
      <c r="A106" s="142" t="s">
        <v>105</v>
      </c>
      <c r="B106" s="142" t="s">
        <v>1468</v>
      </c>
      <c r="C106" s="333" t="s">
        <v>215</v>
      </c>
      <c r="D106" s="13">
        <v>44633</v>
      </c>
      <c r="E106" s="5" t="s">
        <v>211</v>
      </c>
      <c r="F106" s="8">
        <v>111135</v>
      </c>
      <c r="G106" s="9">
        <v>2012</v>
      </c>
      <c r="H106" s="125" t="s">
        <v>16</v>
      </c>
      <c r="I106" s="125" t="s">
        <v>41</v>
      </c>
      <c r="J106" s="141">
        <v>7697.95</v>
      </c>
      <c r="K106" s="11"/>
      <c r="L106" s="11">
        <f>502.55+80.5</f>
        <v>583.04999999999995</v>
      </c>
      <c r="M106" s="11">
        <v>921</v>
      </c>
      <c r="N106" s="11">
        <f t="shared" si="4"/>
        <v>7360</v>
      </c>
      <c r="O106" s="11">
        <f t="shared" si="3"/>
        <v>7860</v>
      </c>
      <c r="P106" s="11">
        <v>8000</v>
      </c>
      <c r="Q106" s="139" t="s">
        <v>26</v>
      </c>
      <c r="R106" t="s">
        <v>1565</v>
      </c>
    </row>
    <row r="107" spans="1:19" ht="15.75" customHeight="1" x14ac:dyDescent="0.3">
      <c r="A107" s="25" t="s">
        <v>14</v>
      </c>
      <c r="B107" s="25" t="s">
        <v>1471</v>
      </c>
      <c r="C107" s="234" t="s">
        <v>263</v>
      </c>
      <c r="D107" s="7">
        <v>44716</v>
      </c>
      <c r="E107" s="22" t="s">
        <v>258</v>
      </c>
      <c r="F107" s="8">
        <v>115934</v>
      </c>
      <c r="G107" s="9">
        <v>2006</v>
      </c>
      <c r="H107" s="125" t="s">
        <v>162</v>
      </c>
      <c r="I107" s="125" t="s">
        <v>264</v>
      </c>
      <c r="J107" s="141">
        <v>7277.5</v>
      </c>
      <c r="K107" s="11"/>
      <c r="L107" s="11">
        <v>1165.5</v>
      </c>
      <c r="M107" s="11"/>
      <c r="N107" s="11">
        <f t="shared" si="4"/>
        <v>8443</v>
      </c>
      <c r="O107" s="11">
        <f t="shared" si="3"/>
        <v>8943</v>
      </c>
      <c r="P107" s="11">
        <v>6000</v>
      </c>
      <c r="Q107" s="129" t="s">
        <v>26</v>
      </c>
      <c r="R107" s="12" t="s">
        <v>98</v>
      </c>
      <c r="S107" t="s">
        <v>1603</v>
      </c>
    </row>
    <row r="108" spans="1:19" ht="15.75" customHeight="1" x14ac:dyDescent="0.3">
      <c r="A108" s="146" t="s">
        <v>105</v>
      </c>
      <c r="B108" s="146" t="s">
        <v>1471</v>
      </c>
      <c r="C108" s="379" t="s">
        <v>1133</v>
      </c>
      <c r="D108" s="41">
        <v>44628</v>
      </c>
      <c r="E108" s="22" t="s">
        <v>1134</v>
      </c>
      <c r="F108" s="137">
        <v>102030</v>
      </c>
      <c r="G108" s="37" t="s">
        <v>278</v>
      </c>
      <c r="H108" s="114" t="s">
        <v>96</v>
      </c>
      <c r="I108" s="114" t="s">
        <v>241</v>
      </c>
      <c r="J108" s="141">
        <v>8739.2000000000007</v>
      </c>
      <c r="K108" s="11">
        <v>402.5</v>
      </c>
      <c r="L108" s="11">
        <v>87.96</v>
      </c>
      <c r="N108" s="11">
        <f>SUM(J108+K108+L108-M108)</f>
        <v>9229.66</v>
      </c>
      <c r="O108" s="11">
        <f t="shared" si="3"/>
        <v>9729.66</v>
      </c>
      <c r="Q108" s="275" t="s">
        <v>26</v>
      </c>
      <c r="S108" t="s">
        <v>1602</v>
      </c>
    </row>
    <row r="109" spans="1:19" ht="15.75" customHeight="1" x14ac:dyDescent="0.3">
      <c r="A109" s="146" t="s">
        <v>14</v>
      </c>
      <c r="B109" s="146" t="s">
        <v>1471</v>
      </c>
      <c r="C109" s="234" t="s">
        <v>267</v>
      </c>
      <c r="D109" s="7">
        <v>44716</v>
      </c>
      <c r="E109" s="22" t="s">
        <v>258</v>
      </c>
      <c r="F109" s="135">
        <v>155196</v>
      </c>
      <c r="G109" s="9">
        <v>2009</v>
      </c>
      <c r="H109" s="125" t="s">
        <v>96</v>
      </c>
      <c r="I109" s="125" t="s">
        <v>97</v>
      </c>
      <c r="J109" s="141">
        <v>6012.5</v>
      </c>
      <c r="K109" s="11"/>
      <c r="L109" s="11">
        <v>1639.43</v>
      </c>
      <c r="M109" s="11">
        <v>921</v>
      </c>
      <c r="N109" s="11">
        <f>SUM(J109+L109-M109)</f>
        <v>6730.93</v>
      </c>
      <c r="O109" s="11">
        <f t="shared" si="3"/>
        <v>7230.93</v>
      </c>
      <c r="P109" s="11">
        <v>6000</v>
      </c>
      <c r="Q109" s="139" t="s">
        <v>26</v>
      </c>
      <c r="R109" s="12" t="s">
        <v>101</v>
      </c>
      <c r="S109" t="s">
        <v>1584</v>
      </c>
    </row>
    <row r="110" spans="1:19" ht="15.75" customHeight="1" x14ac:dyDescent="0.3">
      <c r="A110" s="5" t="s">
        <v>14</v>
      </c>
      <c r="B110" s="5" t="s">
        <v>1486</v>
      </c>
      <c r="C110" s="233" t="s">
        <v>233</v>
      </c>
      <c r="D110" s="13">
        <v>44633</v>
      </c>
      <c r="E110" s="5" t="s">
        <v>211</v>
      </c>
      <c r="F110" s="135">
        <v>103310</v>
      </c>
      <c r="G110" s="9">
        <v>2013</v>
      </c>
      <c r="H110" s="125" t="s">
        <v>16</v>
      </c>
      <c r="I110" s="125" t="s">
        <v>234</v>
      </c>
      <c r="J110" s="141">
        <v>14267.9</v>
      </c>
      <c r="K110" s="11">
        <f>390*1.15</f>
        <v>448.49999999999994</v>
      </c>
      <c r="L110" s="11">
        <f>1093-K110</f>
        <v>644.5</v>
      </c>
      <c r="M110" s="11"/>
      <c r="N110" s="11">
        <f>SUM(J110+K110+L110-M110)</f>
        <v>15360.9</v>
      </c>
      <c r="O110" s="11">
        <f t="shared" si="3"/>
        <v>15860.9</v>
      </c>
      <c r="P110" s="11">
        <v>13000</v>
      </c>
      <c r="Q110" s="129" t="s">
        <v>26</v>
      </c>
      <c r="R110" s="12" t="s">
        <v>1389</v>
      </c>
      <c r="S110" t="s">
        <v>1601</v>
      </c>
    </row>
    <row r="111" spans="1:19" ht="15.75" customHeight="1" x14ac:dyDescent="0.3">
      <c r="A111" s="142" t="s">
        <v>105</v>
      </c>
      <c r="B111" s="142" t="s">
        <v>1491</v>
      </c>
      <c r="C111" s="6" t="s">
        <v>204</v>
      </c>
      <c r="D111" s="13">
        <v>44633</v>
      </c>
      <c r="E111" s="5" t="s">
        <v>200</v>
      </c>
      <c r="F111" s="8">
        <v>99480</v>
      </c>
      <c r="G111" s="9">
        <v>2011</v>
      </c>
      <c r="H111" s="5" t="s">
        <v>123</v>
      </c>
      <c r="I111" s="125" t="s">
        <v>124</v>
      </c>
      <c r="J111" s="141">
        <v>21181</v>
      </c>
      <c r="K111" s="141">
        <v>402.5</v>
      </c>
      <c r="L111" s="11">
        <f>1953.85-K111+259+115</f>
        <v>1925.35</v>
      </c>
      <c r="M111" s="11"/>
      <c r="N111" s="11">
        <f>SUM(J111+K111+L111-M111)</f>
        <v>23508.85</v>
      </c>
      <c r="O111" s="11">
        <f t="shared" si="3"/>
        <v>24008.85</v>
      </c>
      <c r="P111" s="11">
        <v>9000</v>
      </c>
      <c r="Q111" s="246" t="s">
        <v>64</v>
      </c>
      <c r="R111" s="12" t="s">
        <v>1174</v>
      </c>
      <c r="S111" t="s">
        <v>1557</v>
      </c>
    </row>
    <row r="112" spans="1:19" ht="15.75" customHeight="1" x14ac:dyDescent="0.3">
      <c r="A112" s="143" t="s">
        <v>14</v>
      </c>
      <c r="B112" s="143" t="s">
        <v>1523</v>
      </c>
      <c r="C112" s="233" t="s">
        <v>199</v>
      </c>
      <c r="D112" s="13">
        <v>44633</v>
      </c>
      <c r="E112" s="5" t="s">
        <v>200</v>
      </c>
      <c r="F112" s="135">
        <v>105571</v>
      </c>
      <c r="G112" s="9">
        <v>2011</v>
      </c>
      <c r="H112" s="5" t="s">
        <v>201</v>
      </c>
      <c r="I112" s="125" t="s">
        <v>202</v>
      </c>
      <c r="J112" s="141">
        <v>7967.05</v>
      </c>
      <c r="K112" s="11">
        <v>448.5</v>
      </c>
      <c r="L112" s="11">
        <f>563.5-K112+57.5</f>
        <v>172.5</v>
      </c>
      <c r="M112" s="11"/>
      <c r="N112" s="11">
        <f>SUM(J112+K112+L112-M112)</f>
        <v>8588.0499999999993</v>
      </c>
      <c r="O112" s="11">
        <f t="shared" si="3"/>
        <v>9088.0499999999993</v>
      </c>
      <c r="P112" s="11">
        <v>7000</v>
      </c>
      <c r="Q112" s="129" t="s">
        <v>26</v>
      </c>
      <c r="R112" s="12" t="s">
        <v>1387</v>
      </c>
      <c r="S112" t="s">
        <v>1553</v>
      </c>
    </row>
    <row r="113" spans="1:18" ht="15.75" customHeight="1" x14ac:dyDescent="0.3">
      <c r="A113" s="142" t="s">
        <v>105</v>
      </c>
      <c r="B113" s="142" t="s">
        <v>1471</v>
      </c>
      <c r="C113" s="6" t="s">
        <v>207</v>
      </c>
      <c r="D113" s="13">
        <v>44633</v>
      </c>
      <c r="E113" s="5" t="s">
        <v>200</v>
      </c>
      <c r="F113" s="8">
        <v>88457</v>
      </c>
      <c r="G113" s="9">
        <v>2012</v>
      </c>
      <c r="H113" s="125" t="s">
        <v>208</v>
      </c>
      <c r="I113" s="125" t="s">
        <v>209</v>
      </c>
      <c r="J113" s="141">
        <v>18883</v>
      </c>
      <c r="K113" s="11"/>
      <c r="L113" s="11">
        <f>799.25+506+434.74</f>
        <v>1739.99</v>
      </c>
      <c r="M113" s="11"/>
      <c r="N113" s="11">
        <f>SUM(J113+L113-M113)</f>
        <v>20622.990000000002</v>
      </c>
      <c r="O113" s="11">
        <f t="shared" si="3"/>
        <v>21122.99</v>
      </c>
      <c r="P113" s="11">
        <v>10500</v>
      </c>
      <c r="Q113" s="12" t="s">
        <v>64</v>
      </c>
      <c r="R113" s="112" t="s">
        <v>1622</v>
      </c>
    </row>
    <row r="114" spans="1:18" ht="15.75" customHeight="1" x14ac:dyDescent="0.3"/>
    <row r="115" spans="1:18" ht="15.75" customHeight="1" x14ac:dyDescent="0.3"/>
    <row r="116" spans="1:18" ht="15.75" customHeight="1" x14ac:dyDescent="0.3"/>
    <row r="117" spans="1:18" ht="15.75" customHeight="1" x14ac:dyDescent="0.3"/>
    <row r="118" spans="1:18" ht="15.75" customHeight="1" x14ac:dyDescent="0.3"/>
    <row r="119" spans="1:18" ht="15.75" customHeight="1" x14ac:dyDescent="0.3"/>
    <row r="120" spans="1:18" ht="15.75" customHeight="1" x14ac:dyDescent="0.3"/>
    <row r="121" spans="1:18" ht="15.75" customHeight="1" x14ac:dyDescent="0.3"/>
    <row r="122" spans="1:18" ht="15.75" customHeight="1" x14ac:dyDescent="0.3"/>
    <row r="123" spans="1:18" ht="15.75" customHeight="1" x14ac:dyDescent="0.3"/>
    <row r="124" spans="1:18" ht="15.75" customHeight="1" x14ac:dyDescent="0.3"/>
    <row r="125" spans="1:18" ht="15.75" customHeight="1" x14ac:dyDescent="0.3"/>
    <row r="126" spans="1:18" ht="15.75" customHeight="1" x14ac:dyDescent="0.3"/>
    <row r="127" spans="1:18" ht="15.75" customHeight="1" x14ac:dyDescent="0.3"/>
    <row r="128" spans="1:1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</sheetData>
  <autoFilter ref="A1:S61" xr:uid="{F9118DA5-444F-498E-A87C-1AE7AAED1AD7}">
    <sortState xmlns:xlrd2="http://schemas.microsoft.com/office/spreadsheetml/2017/richdata2" ref="A2:S61">
      <sortCondition ref="H1:H61"/>
    </sortState>
  </autoFilter>
  <hyperlinks>
    <hyperlink ref="C23" r:id="rId1" xr:uid="{CE9D0CC1-4216-4975-A606-48EDF7CB566F}"/>
    <hyperlink ref="C97" r:id="rId2" xr:uid="{65EA0EE8-89F9-489E-AF6D-993C12B497C3}"/>
    <hyperlink ref="C8" r:id="rId3" xr:uid="{9084FB58-BE64-4919-95CC-9B186A5490DB}"/>
    <hyperlink ref="C49" r:id="rId4" xr:uid="{CC591070-6234-4134-BD36-A88C260E5C80}"/>
    <hyperlink ref="C26" r:id="rId5" xr:uid="{6A40FBE7-1332-4A07-9983-7C30B8FC374D}"/>
    <hyperlink ref="C96" r:id="rId6" xr:uid="{FBFF6DF1-F2B4-4B17-ADE5-96691246A47E}"/>
    <hyperlink ref="C7" r:id="rId7" xr:uid="{D3ED90B3-AB6E-4138-AEA9-C2F373E568D7}"/>
    <hyperlink ref="C88" r:id="rId8" xr:uid="{7CE0B949-C8D8-4ACB-8F2A-748B81046264}"/>
    <hyperlink ref="C53" r:id="rId9" xr:uid="{5EAF95A6-0727-4A04-BBC0-C1B2DC0E090D}"/>
    <hyperlink ref="C29" r:id="rId10" xr:uid="{09347830-7C1E-4D42-8DE3-133F54B2C6CB}"/>
    <hyperlink ref="C99" r:id="rId11" xr:uid="{F2822925-2E16-4E3C-BDFD-5DBE8532A74B}"/>
    <hyperlink ref="C100" r:id="rId12" xr:uid="{AC9021B0-B192-4D74-9C33-CAB5C50FB93F}"/>
    <hyperlink ref="C6" r:id="rId13" xr:uid="{F4B87BF1-2EF1-44B7-A0FD-8D77796E7E01}"/>
    <hyperlink ref="C9" r:id="rId14" xr:uid="{FBA304ED-7D04-4DB8-AA30-DBEE42D0B228}"/>
    <hyperlink ref="C81" r:id="rId15" xr:uid="{F8BBC6ED-38AC-4AD9-A3FB-145E293F6E2A}"/>
    <hyperlink ref="C11" r:id="rId16" xr:uid="{A5190E34-39A4-4BE4-9535-0A8CBBFEDB4B}"/>
    <hyperlink ref="C14" r:id="rId17" xr:uid="{41A15CC9-AB9B-4D78-942A-2B9DE82E08E7}"/>
    <hyperlink ref="C84" r:id="rId18" xr:uid="{C6F374F0-B9ED-47AB-A980-3226BC5AC6B9}"/>
    <hyperlink ref="C80" r:id="rId19" xr:uid="{C7E0245A-1ADE-4137-8F91-AC6F55CFBCB1}"/>
    <hyperlink ref="C21" r:id="rId20" xr:uid="{DFA43C8F-CE1A-49B6-82D5-58E8D1C4432B}"/>
    <hyperlink ref="C76" r:id="rId21" xr:uid="{6A8DC6D2-118D-40D7-B88A-0FECE0CB5FDC}"/>
    <hyperlink ref="C35" r:id="rId22" xr:uid="{387A16A7-0098-4172-B975-F293F4B03BB7}"/>
    <hyperlink ref="C36" r:id="rId23" xr:uid="{23A5DC23-397C-414A-AB88-0D2723519C78}"/>
    <hyperlink ref="C98" r:id="rId24" xr:uid="{72024F6A-A811-44DC-B441-41031308B2FC}"/>
    <hyperlink ref="C13" r:id="rId25" xr:uid="{5A5ACAEC-0A3E-45D2-B351-3B9BF1B4F92F}"/>
    <hyperlink ref="C16" r:id="rId26" xr:uid="{59D3BCDC-D9B4-4307-A750-F6C6F45C9820}"/>
    <hyperlink ref="C61" r:id="rId27" xr:uid="{9EC3189F-901F-4693-86D0-9708772D3284}"/>
    <hyperlink ref="C113" r:id="rId28" xr:uid="{61CC994F-6A58-4EE1-8EBA-063157D85A9E}"/>
    <hyperlink ref="C50" r:id="rId29" xr:uid="{C5B9D7EC-46C5-4631-B066-ECED44CF4768}"/>
    <hyperlink ref="C106" r:id="rId30" xr:uid="{C488B824-304E-49EB-87C4-714CFC7E45BF}"/>
    <hyperlink ref="C55" r:id="rId31" xr:uid="{B1FAE1EE-23C1-4260-9C13-F5D938E4DB53}"/>
    <hyperlink ref="C33" r:id="rId32" xr:uid="{9218F728-0907-4EDD-BE68-236FA237436D}"/>
    <hyperlink ref="C31" r:id="rId33" xr:uid="{A6F964A5-4E77-4032-80A6-DDCB43F4F11B}"/>
    <hyperlink ref="C70" r:id="rId34" xr:uid="{A775D7E0-34EE-45F9-94DE-A50A0D93D1E2}"/>
    <hyperlink ref="C89" r:id="rId35" xr:uid="{DFFD97BE-4C13-4724-9B6B-97AE0217AD36}"/>
    <hyperlink ref="C77" r:id="rId36" xr:uid="{8E673ED9-EC8B-49D8-B181-AD7F85F1BC53}"/>
    <hyperlink ref="C102" r:id="rId37" xr:uid="{0B5DC609-2B03-4425-910B-E9C61D1214B7}"/>
    <hyperlink ref="C110" r:id="rId38" xr:uid="{50F200CC-96F8-4C41-911E-9BE68E273E00}"/>
    <hyperlink ref="C45" r:id="rId39" xr:uid="{56284F6A-34DE-44E2-BCD2-A2539B61F55D}"/>
    <hyperlink ref="C43" r:id="rId40" xr:uid="{FE175EED-6F96-4484-93BF-582CC48E6F04}"/>
    <hyperlink ref="C73" r:id="rId41" xr:uid="{55BB4180-F7A2-43DA-B861-C8178E02FF7D}"/>
    <hyperlink ref="C94" r:id="rId42" xr:uid="{BC1A95F2-F4A2-4B0A-8F47-07ECF69ABDF4}"/>
    <hyperlink ref="C44" r:id="rId43" xr:uid="{FD9DD53D-C4F2-4709-812B-192D0A5E8E71}"/>
    <hyperlink ref="C101" r:id="rId44" xr:uid="{C10AA5C4-3754-4C6E-8F74-1AD223C4041C}"/>
    <hyperlink ref="C12" r:id="rId45" xr:uid="{2E3CB51A-47A5-4417-923D-607C92BFA3D9}"/>
    <hyperlink ref="C42" r:id="rId46" xr:uid="{62659CA4-BF0D-4A6C-BC5E-B01E0B89BE9B}"/>
    <hyperlink ref="C4" r:id="rId47" xr:uid="{283070EE-1BAB-49C2-8DD4-F79040401420}"/>
    <hyperlink ref="C20" r:id="rId48" xr:uid="{9827EA01-B568-40DC-B58E-4CE2FBF855B4}"/>
    <hyperlink ref="C54" r:id="rId49" xr:uid="{DCA0267C-0142-4FFF-9C4E-FEFD37EF38C3}"/>
    <hyperlink ref="C74" r:id="rId50" xr:uid="{98C146D5-FDAA-45D9-A523-C5C87FBEFD82}"/>
    <hyperlink ref="C32" r:id="rId51" xr:uid="{9C0B483F-3321-4826-9589-58A0EE5CC0C7}"/>
    <hyperlink ref="C104" r:id="rId52" xr:uid="{AFC63092-4DE1-47AB-8808-B685C52CB088}"/>
    <hyperlink ref="C10" r:id="rId53" xr:uid="{EE0EDD1B-3C37-4298-89DA-CF743CCF0376}"/>
    <hyperlink ref="C27" r:id="rId54" xr:uid="{2ECA6A0B-C66B-4325-B11A-22A69CDD74E7}"/>
    <hyperlink ref="C72" r:id="rId55" xr:uid="{6D915EDD-B36A-4635-B84A-993FC157A194}"/>
    <hyperlink ref="C28" r:id="rId56" xr:uid="{8FFC6E67-1B15-4A26-923B-576EC202A9C5}"/>
    <hyperlink ref="C105" r:id="rId57" xr:uid="{7C3229B8-04ED-4B4E-B959-66BD7DDCB520}"/>
    <hyperlink ref="C15" r:id="rId58" xr:uid="{FF5BCBA7-5894-4F92-99D9-D9F312696095}"/>
    <hyperlink ref="C75" r:id="rId59" xr:uid="{1B51A013-7C80-4206-86E9-1655F9CA800F}"/>
    <hyperlink ref="C86" r:id="rId60" xr:uid="{EAB069B3-1AAE-4C86-9C27-C4DB841B3B3D}"/>
    <hyperlink ref="C25" r:id="rId61" xr:uid="{4445FE93-47BA-4673-9ABF-CC8647D1BB42}"/>
    <hyperlink ref="C48" r:id="rId62" xr:uid="{3AC2D86E-ED03-4F63-BC03-171040B901EE}"/>
    <hyperlink ref="C46" r:id="rId63" xr:uid="{8CC45E32-6747-480D-8794-39E9C3BA54FE}"/>
    <hyperlink ref="C18" r:id="rId64" xr:uid="{7F52581C-2E0B-433E-AFDA-F1418CEF5B20}"/>
    <hyperlink ref="C57" r:id="rId65" xr:uid="{9E8E8704-739C-440D-BE29-6CEF9C350F42}"/>
    <hyperlink ref="C67" r:id="rId66" xr:uid="{12906040-120C-452E-A445-3F79A62FB74A}"/>
    <hyperlink ref="C68" r:id="rId67" xr:uid="{C3725951-EC7E-45B4-8AC7-FA9501E3E1F7}"/>
    <hyperlink ref="C19" r:id="rId68" xr:uid="{E48DB547-DB6C-45A2-A9FF-2FF096F1E605}"/>
    <hyperlink ref="C71" r:id="rId69" xr:uid="{B8BFFD8E-AD49-4EF9-AB45-AE1F370A2998}"/>
    <hyperlink ref="C47" r:id="rId70" xr:uid="{5BDA2B7B-ABB1-4280-A63E-4EC9F74C8998}"/>
    <hyperlink ref="C69" r:id="rId71" xr:uid="{1A6D26AE-00F8-45DC-9F59-540E315DADFA}"/>
    <hyperlink ref="C103" r:id="rId72" xr:uid="{D81EDD81-62A3-4A6E-B946-950841B3D8B0}"/>
    <hyperlink ref="C78" r:id="rId73" xr:uid="{4E3D95FC-07A6-41D7-ACAF-1C49230B9942}"/>
    <hyperlink ref="C41" r:id="rId74" xr:uid="{8ED76912-718C-4C58-A95A-841CE72DC1A4}"/>
    <hyperlink ref="C38" r:id="rId75" xr:uid="{D2A1ADE1-2C06-4E20-87C2-EABEFF4FF89D}"/>
    <hyperlink ref="C22" r:id="rId76" xr:uid="{645011AE-58CF-455F-89AC-CF4E6B61837F}"/>
    <hyperlink ref="C52" r:id="rId77" xr:uid="{F02047A4-8FE4-4DE0-8716-CF61915991AD}"/>
    <hyperlink ref="C107" r:id="rId78" xr:uid="{C98B8EC9-AE78-4F09-8230-FBE62D3E060F}"/>
    <hyperlink ref="C34" r:id="rId79" xr:uid="{03CCD884-9D18-4A0D-BE2F-0642712EE260}"/>
    <hyperlink ref="C109" r:id="rId80" xr:uid="{164ECC6D-D537-48BF-AC5D-B70AFAD48EC5}"/>
    <hyperlink ref="C82" r:id="rId81" xr:uid="{06A013B4-8550-4FA7-8A66-E211958CD765}"/>
    <hyperlink ref="C5" r:id="rId82" xr:uid="{99592A27-6859-43BF-8C40-9B99066F7013}"/>
    <hyperlink ref="C3" r:id="rId83" xr:uid="{4754AF34-0BA0-4583-8022-F34F0FDEE41B}"/>
    <hyperlink ref="C17" r:id="rId84" xr:uid="{ED7844C3-78C0-4D7B-B69F-54EE3A081FF3}"/>
    <hyperlink ref="C90" r:id="rId85" xr:uid="{23FC564D-3313-4012-9622-A30B4AB65A1A}"/>
    <hyperlink ref="C30" r:id="rId86" xr:uid="{32581B47-ABAC-4F3B-99D2-7BEC6CE3CCA2}"/>
    <hyperlink ref="C56" r:id="rId87" xr:uid="{13763EFC-8A0E-42FD-B888-68C580C6BEA7}"/>
    <hyperlink ref="C40" r:id="rId88" xr:uid="{07CB035B-D8A7-47E0-8A0B-83EE9CA15D04}"/>
    <hyperlink ref="C24" r:id="rId89" xr:uid="{74FF4C77-88B3-451A-9700-FD203E4962E5}"/>
    <hyperlink ref="C79" r:id="rId90" xr:uid="{8766B960-5939-419A-9A68-461CA22A9E22}"/>
    <hyperlink ref="C59" r:id="rId91" xr:uid="{AAA42DA7-9902-4080-8B0D-C4F1E5CE8479}"/>
    <hyperlink ref="C66" r:id="rId92" xr:uid="{B77F9A5F-64DE-4E84-B66D-B1EF387C217F}"/>
    <hyperlink ref="C60" r:id="rId93" xr:uid="{A244FB30-CAAF-4C7B-B829-F309790CA9D8}"/>
    <hyperlink ref="C93" r:id="rId94" xr:uid="{D08F27D9-D41D-4814-93E1-F0A25F615AD6}"/>
    <hyperlink ref="C108" r:id="rId95" xr:uid="{00000000-0004-0000-0000-000010000000}"/>
    <hyperlink ref="C87" r:id="rId96" xr:uid="{BD2E131E-46F8-4C9D-B785-8CF548C42029}"/>
    <hyperlink ref="C2" r:id="rId97" xr:uid="{C5FF83C1-5437-4D27-BD2F-B78F24DF289A}"/>
    <hyperlink ref="C39" r:id="rId98" xr:uid="{8A0BC42A-42EF-438F-823A-583D90985ABA}"/>
    <hyperlink ref="C83" r:id="rId99" xr:uid="{1F6FB655-97FD-4E07-99C4-AD636E7207AE}"/>
    <hyperlink ref="C58" r:id="rId100" xr:uid="{224F448D-379E-4A7F-9DDE-D79BD74D5ED8}"/>
    <hyperlink ref="C91" r:id="rId101" xr:uid="{4EF911BA-9F37-4845-9D96-49DB179B68AC}"/>
    <hyperlink ref="C92" r:id="rId102" xr:uid="{9358BDFB-86C8-42A3-A724-957DC5603E95}"/>
    <hyperlink ref="C95" r:id="rId103" xr:uid="{83D805ED-6BF4-449F-8F32-01B50C5D53D6}"/>
    <hyperlink ref="R50" r:id="rId104" display="Missing drip rails" xr:uid="{6143B7CE-1565-4FFB-B6BD-4CB90959185E}"/>
    <hyperlink ref="C51" r:id="rId105" display="https://apc01.safelinks.protection.outlook.com/?url=https%3A%2F%2Fwww.ibcauto.com%2Fvehicle%2Fchecklist%3Fcrypt%3D%255E%25D2%25D0%25E5%2598%25E1%25D1%25CC%259E%25C6q%25A0%2599%2593l%259D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D2%25EB%25D7%259F%2599%25DF%25A7%25CA%25A1%25CE%259C%25CF%25A4%25D3%25D4%25EB%25AF%257D%25C1%25C2%25EC%25CB%25E8%25A0%25DB%25CF%25E4%25D4%25C6%259E%25E9%255C%2597%25A1%25CF%25DC%25DE%25DA%25A1%25E6%259A%25D4%2596%25AB%259D%25A1%25D1%25D0%25E5v%2591%255E%25D8%25D8%25CE%25A7%25E6%25B6%25AC%2599%25EC%255C%25A9%25E6%25A8%25DA%25B8%2598%25A2%259F%25AA%25ED%25AB%2586%25E8%25EA%25CB&amp;data=05%7C01%7CGKeatley%40ibcauto.com%7C00dc02846d8e4acf214808daad483d0e%7Cd487dbeeb3df4578a1be2d368870f520%7C0%7C0%7C638012823057467719%7CUnknown%7CTWFpbGZsb3d8eyJWIjoiMC4wLjAwMDAiLCJQIjoiV2luMzIiLCJBTiI6Ik1haWwiLCJXVCI6Mn0%3D%7C3000%7C%7C%7C&amp;sdata=lrEXfuTkBBnyW2dypN9Gb2vZg5xQAyZxkL%2FA8dE1Kp0%3D&amp;reserved=0" xr:uid="{B74E3095-74C1-4DB0-8E05-4F6B3538157D}"/>
  </hyperlinks>
  <pageMargins left="0.7" right="0.7" top="0.75" bottom="0.75" header="0.3" footer="0.3"/>
  <pageSetup paperSize="9" orientation="portrait" horizontalDpi="4294967293" verticalDpi="0" r:id="rId1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C7747-333F-4A9C-90BB-BDE86F92207E}">
  <dimension ref="A1:W880"/>
  <sheetViews>
    <sheetView tabSelected="1" zoomScale="85" zoomScaleNormal="85" workbookViewId="0">
      <pane ySplit="1" topLeftCell="A41" activePane="bottomLeft" state="frozen"/>
      <selection activeCell="C1" sqref="C1"/>
      <selection pane="bottomLeft" activeCell="O59" sqref="O59"/>
    </sheetView>
  </sheetViews>
  <sheetFormatPr defaultColWidth="14.44140625" defaultRowHeight="14.4" x14ac:dyDescent="0.3"/>
  <cols>
    <col min="1" max="1" width="30.5546875" customWidth="1"/>
    <col min="2" max="2" width="12.109375" customWidth="1"/>
    <col min="3" max="3" width="21.33203125" customWidth="1"/>
    <col min="4" max="4" width="21.109375" hidden="1" customWidth="1"/>
    <col min="5" max="5" width="15.88671875" hidden="1" customWidth="1"/>
    <col min="6" max="6" width="20.21875" hidden="1" customWidth="1"/>
    <col min="7" max="7" width="9.109375" customWidth="1"/>
    <col min="8" max="8" width="17.44140625" customWidth="1"/>
    <col min="9" max="9" width="22.5546875" customWidth="1"/>
    <col min="10" max="10" width="18.109375" bestFit="1" customWidth="1"/>
    <col min="11" max="11" width="14.21875" bestFit="1" customWidth="1"/>
    <col min="12" max="12" width="12.33203125" customWidth="1"/>
    <col min="13" max="13" width="11" bestFit="1" customWidth="1"/>
    <col min="14" max="15" width="12.109375" customWidth="1"/>
    <col min="16" max="16" width="16.5546875" customWidth="1"/>
    <col min="17" max="17" width="12.21875" bestFit="1" customWidth="1"/>
    <col min="18" max="18" width="31.33203125" bestFit="1" customWidth="1"/>
    <col min="19" max="19" width="17.44140625" customWidth="1"/>
    <col min="20" max="27" width="8.6640625" customWidth="1"/>
  </cols>
  <sheetData>
    <row r="1" spans="1:19" x14ac:dyDescent="0.3">
      <c r="A1" s="1" t="s">
        <v>0</v>
      </c>
      <c r="B1" s="1" t="s">
        <v>1461</v>
      </c>
      <c r="C1" s="325" t="s">
        <v>1</v>
      </c>
      <c r="D1" s="3" t="s">
        <v>4</v>
      </c>
      <c r="E1" s="3" t="s">
        <v>292</v>
      </c>
      <c r="F1" s="1" t="s">
        <v>3</v>
      </c>
      <c r="G1" s="3" t="s">
        <v>5</v>
      </c>
      <c r="H1" s="3" t="s">
        <v>6</v>
      </c>
      <c r="I1" s="3" t="s">
        <v>7</v>
      </c>
      <c r="J1" s="54" t="s">
        <v>8</v>
      </c>
      <c r="K1" s="54" t="s">
        <v>1172</v>
      </c>
      <c r="L1" s="54" t="s">
        <v>1258</v>
      </c>
      <c r="M1" s="55" t="s">
        <v>544</v>
      </c>
      <c r="N1" s="56" t="s">
        <v>11</v>
      </c>
      <c r="O1" s="56" t="s">
        <v>545</v>
      </c>
      <c r="P1" s="56" t="s">
        <v>546</v>
      </c>
      <c r="Q1" s="57" t="s">
        <v>12</v>
      </c>
      <c r="R1" s="32" t="s">
        <v>1234</v>
      </c>
      <c r="S1" s="12" t="s">
        <v>19</v>
      </c>
    </row>
    <row r="2" spans="1:19" x14ac:dyDescent="0.3">
      <c r="A2" s="142" t="s">
        <v>659</v>
      </c>
      <c r="B2" s="142"/>
      <c r="C2" s="321" t="s">
        <v>681</v>
      </c>
      <c r="D2" s="21">
        <v>127042</v>
      </c>
      <c r="E2" s="13">
        <v>44633</v>
      </c>
      <c r="F2" s="5" t="s">
        <v>211</v>
      </c>
      <c r="G2" s="190">
        <v>2010</v>
      </c>
      <c r="H2" s="125" t="s">
        <v>29</v>
      </c>
      <c r="I2" s="125" t="s">
        <v>646</v>
      </c>
      <c r="J2" s="66">
        <v>13818</v>
      </c>
      <c r="K2" s="66"/>
      <c r="L2" s="66">
        <v>1596.89</v>
      </c>
      <c r="M2" s="58">
        <v>921</v>
      </c>
      <c r="N2" s="58">
        <f t="shared" ref="N2:N33" si="0">SUM(J2+K2+L2-M2)</f>
        <v>14493.89</v>
      </c>
      <c r="O2" s="58">
        <f t="shared" ref="O2:O33" si="1">SUM(N2+500)</f>
        <v>14993.89</v>
      </c>
      <c r="P2" s="58">
        <v>14700</v>
      </c>
      <c r="Q2" s="276" t="s">
        <v>342</v>
      </c>
      <c r="R2" s="60"/>
      <c r="S2" s="65"/>
    </row>
    <row r="3" spans="1:19" x14ac:dyDescent="0.3">
      <c r="A3" s="142" t="s">
        <v>659</v>
      </c>
      <c r="B3" s="142"/>
      <c r="C3" s="321" t="s">
        <v>683</v>
      </c>
      <c r="D3" s="21">
        <v>53221</v>
      </c>
      <c r="E3" s="13">
        <v>44633</v>
      </c>
      <c r="F3" s="5" t="s">
        <v>228</v>
      </c>
      <c r="G3" s="190">
        <v>2010</v>
      </c>
      <c r="H3" s="125" t="s">
        <v>162</v>
      </c>
      <c r="I3" s="125" t="s">
        <v>276</v>
      </c>
      <c r="J3" s="66">
        <v>13548</v>
      </c>
      <c r="K3" s="66"/>
      <c r="L3" s="66">
        <v>1042.54</v>
      </c>
      <c r="M3" s="58">
        <v>921</v>
      </c>
      <c r="N3" s="58">
        <f t="shared" si="0"/>
        <v>13669.54</v>
      </c>
      <c r="O3" s="58">
        <f t="shared" si="1"/>
        <v>14169.54</v>
      </c>
      <c r="P3" s="58">
        <v>13787.74</v>
      </c>
      <c r="Q3" s="276" t="s">
        <v>342</v>
      </c>
      <c r="R3" s="60"/>
      <c r="S3" s="65"/>
    </row>
    <row r="4" spans="1:19" x14ac:dyDescent="0.3">
      <c r="A4" s="142" t="s">
        <v>659</v>
      </c>
      <c r="B4" s="142"/>
      <c r="C4" s="321" t="s">
        <v>686</v>
      </c>
      <c r="D4" s="21">
        <v>116845</v>
      </c>
      <c r="E4" s="13">
        <v>44633</v>
      </c>
      <c r="F4" s="5" t="s">
        <v>228</v>
      </c>
      <c r="G4" s="190">
        <v>2013</v>
      </c>
      <c r="H4" s="125" t="s">
        <v>16</v>
      </c>
      <c r="I4" s="125" t="s">
        <v>198</v>
      </c>
      <c r="J4" s="66">
        <v>11368</v>
      </c>
      <c r="K4" s="66"/>
      <c r="L4" s="66">
        <v>990.13</v>
      </c>
      <c r="M4" s="58">
        <v>921</v>
      </c>
      <c r="N4" s="58">
        <f t="shared" si="0"/>
        <v>11437.13</v>
      </c>
      <c r="O4" s="58">
        <f t="shared" si="1"/>
        <v>11937.13</v>
      </c>
      <c r="P4" s="58">
        <v>11339.13</v>
      </c>
      <c r="Q4" s="276" t="s">
        <v>342</v>
      </c>
      <c r="R4" s="60"/>
      <c r="S4" s="65"/>
    </row>
    <row r="5" spans="1:19" x14ac:dyDescent="0.3">
      <c r="A5" s="142" t="s">
        <v>659</v>
      </c>
      <c r="B5" s="142"/>
      <c r="C5" s="321" t="s">
        <v>691</v>
      </c>
      <c r="D5" s="21">
        <v>76446</v>
      </c>
      <c r="E5" s="13">
        <v>44633</v>
      </c>
      <c r="F5" s="5" t="s">
        <v>200</v>
      </c>
      <c r="G5" s="190">
        <v>2008</v>
      </c>
      <c r="H5" s="125" t="s">
        <v>96</v>
      </c>
      <c r="I5" s="125" t="s">
        <v>97</v>
      </c>
      <c r="J5" s="66">
        <v>11549</v>
      </c>
      <c r="K5" s="66"/>
      <c r="L5" s="66">
        <v>942.95</v>
      </c>
      <c r="M5" s="58">
        <v>921</v>
      </c>
      <c r="N5" s="58">
        <f t="shared" si="0"/>
        <v>11570.95</v>
      </c>
      <c r="O5" s="58">
        <f t="shared" si="1"/>
        <v>12070.95</v>
      </c>
      <c r="P5" s="58">
        <v>11965.95</v>
      </c>
      <c r="Q5" s="276" t="s">
        <v>342</v>
      </c>
      <c r="R5" s="60"/>
      <c r="S5" s="65"/>
    </row>
    <row r="6" spans="1:19" x14ac:dyDescent="0.3">
      <c r="A6" s="142" t="s">
        <v>659</v>
      </c>
      <c r="B6" s="142"/>
      <c r="C6" s="321" t="s">
        <v>699</v>
      </c>
      <c r="D6" s="21">
        <v>80378</v>
      </c>
      <c r="E6" s="13">
        <v>44633</v>
      </c>
      <c r="F6" s="5" t="s">
        <v>211</v>
      </c>
      <c r="G6" s="190">
        <v>2010</v>
      </c>
      <c r="H6" s="125" t="s">
        <v>29</v>
      </c>
      <c r="I6" s="125" t="s">
        <v>341</v>
      </c>
      <c r="J6" s="66">
        <v>9696</v>
      </c>
      <c r="K6" s="66"/>
      <c r="L6" s="66">
        <v>914.25</v>
      </c>
      <c r="M6" s="58">
        <v>921</v>
      </c>
      <c r="N6" s="58">
        <f t="shared" si="0"/>
        <v>9689.25</v>
      </c>
      <c r="O6" s="58">
        <f t="shared" si="1"/>
        <v>10189.25</v>
      </c>
      <c r="P6" s="58">
        <v>9579.75</v>
      </c>
      <c r="Q6" s="276" t="s">
        <v>342</v>
      </c>
      <c r="R6" s="60"/>
      <c r="S6" s="65"/>
    </row>
    <row r="7" spans="1:19" x14ac:dyDescent="0.3">
      <c r="A7" s="142" t="s">
        <v>659</v>
      </c>
      <c r="B7" s="142"/>
      <c r="C7" s="321" t="s">
        <v>660</v>
      </c>
      <c r="D7" s="21">
        <v>90846</v>
      </c>
      <c r="E7" s="13">
        <v>44558</v>
      </c>
      <c r="F7" s="5" t="s">
        <v>69</v>
      </c>
      <c r="G7" s="190">
        <v>2014</v>
      </c>
      <c r="H7" s="125" t="s">
        <v>96</v>
      </c>
      <c r="I7" s="125" t="s">
        <v>661</v>
      </c>
      <c r="J7" s="58">
        <v>13762</v>
      </c>
      <c r="K7" s="58"/>
      <c r="L7" s="58">
        <v>1353.01</v>
      </c>
      <c r="M7" s="58">
        <v>921</v>
      </c>
      <c r="N7" s="58">
        <f t="shared" si="0"/>
        <v>14194.01</v>
      </c>
      <c r="O7" s="58">
        <f t="shared" si="1"/>
        <v>14694.01</v>
      </c>
      <c r="P7" s="58">
        <v>15200</v>
      </c>
      <c r="Q7" s="276" t="s">
        <v>336</v>
      </c>
      <c r="R7" s="60"/>
      <c r="S7" s="286"/>
    </row>
    <row r="8" spans="1:19" x14ac:dyDescent="0.3">
      <c r="A8" s="142" t="s">
        <v>659</v>
      </c>
      <c r="B8" s="142"/>
      <c r="C8" s="326" t="s">
        <v>692</v>
      </c>
      <c r="D8" s="21">
        <v>105473</v>
      </c>
      <c r="E8" s="13">
        <v>44633</v>
      </c>
      <c r="F8" s="5" t="s">
        <v>211</v>
      </c>
      <c r="G8" s="190">
        <v>2006</v>
      </c>
      <c r="H8" s="125" t="s">
        <v>21</v>
      </c>
      <c r="I8" s="125" t="s">
        <v>693</v>
      </c>
      <c r="J8" s="66">
        <v>10758</v>
      </c>
      <c r="K8" s="66">
        <f>330*1.15</f>
        <v>379.49999999999994</v>
      </c>
      <c r="L8" s="66">
        <f>3117.08+864.38-K8</f>
        <v>3601.96</v>
      </c>
      <c r="M8" s="58">
        <v>1151</v>
      </c>
      <c r="N8" s="58">
        <f t="shared" si="0"/>
        <v>13588.46</v>
      </c>
      <c r="O8" s="58">
        <f t="shared" si="1"/>
        <v>14088.46</v>
      </c>
      <c r="P8" s="58">
        <v>13600</v>
      </c>
      <c r="Q8" s="276" t="s">
        <v>336</v>
      </c>
      <c r="R8" s="65" t="s">
        <v>19</v>
      </c>
      <c r="S8" s="286"/>
    </row>
    <row r="9" spans="1:19" x14ac:dyDescent="0.3">
      <c r="A9" s="249" t="s">
        <v>659</v>
      </c>
      <c r="B9" s="249"/>
      <c r="C9" s="327" t="s">
        <v>802</v>
      </c>
      <c r="D9" s="29">
        <v>87510</v>
      </c>
      <c r="E9" s="41">
        <v>44749</v>
      </c>
      <c r="F9" s="249" t="s">
        <v>798</v>
      </c>
      <c r="G9" s="127" t="s">
        <v>498</v>
      </c>
      <c r="H9" s="127" t="s">
        <v>49</v>
      </c>
      <c r="I9" s="127" t="s">
        <v>445</v>
      </c>
      <c r="J9" s="284">
        <v>10685.75</v>
      </c>
      <c r="K9" s="284"/>
      <c r="L9" s="287">
        <v>529</v>
      </c>
      <c r="M9" s="287">
        <v>921</v>
      </c>
      <c r="N9" s="58">
        <f t="shared" si="0"/>
        <v>10293.75</v>
      </c>
      <c r="O9" s="284">
        <f t="shared" si="1"/>
        <v>10793.75</v>
      </c>
      <c r="P9" s="249"/>
      <c r="Q9" s="275" t="s">
        <v>336</v>
      </c>
      <c r="R9" s="286"/>
      <c r="S9" s="286"/>
    </row>
    <row r="10" spans="1:19" x14ac:dyDescent="0.3">
      <c r="A10" s="249" t="s">
        <v>659</v>
      </c>
      <c r="B10" s="249"/>
      <c r="C10" s="327" t="s">
        <v>803</v>
      </c>
      <c r="D10" s="29">
        <v>83413</v>
      </c>
      <c r="E10" s="41">
        <v>44749</v>
      </c>
      <c r="F10" s="249" t="s">
        <v>798</v>
      </c>
      <c r="G10" s="127" t="s">
        <v>278</v>
      </c>
      <c r="H10" s="127" t="s">
        <v>96</v>
      </c>
      <c r="I10" s="127" t="s">
        <v>390</v>
      </c>
      <c r="J10" s="284">
        <v>7902.75</v>
      </c>
      <c r="K10" s="284"/>
      <c r="L10" s="249">
        <v>665.99</v>
      </c>
      <c r="M10" s="287">
        <v>921</v>
      </c>
      <c r="N10" s="58">
        <f t="shared" si="0"/>
        <v>7647.74</v>
      </c>
      <c r="O10" s="284">
        <f t="shared" si="1"/>
        <v>8147.74</v>
      </c>
      <c r="P10" s="249"/>
      <c r="Q10" s="275" t="s">
        <v>336</v>
      </c>
      <c r="R10" s="286"/>
      <c r="S10" s="286"/>
    </row>
    <row r="11" spans="1:19" x14ac:dyDescent="0.3">
      <c r="A11" s="249" t="s">
        <v>659</v>
      </c>
      <c r="B11" s="249"/>
      <c r="C11" s="327" t="s">
        <v>805</v>
      </c>
      <c r="D11" s="29">
        <v>97725</v>
      </c>
      <c r="E11" s="41">
        <v>44758</v>
      </c>
      <c r="F11" s="249" t="s">
        <v>806</v>
      </c>
      <c r="G11" s="127" t="s">
        <v>278</v>
      </c>
      <c r="H11" s="127" t="s">
        <v>49</v>
      </c>
      <c r="I11" s="127" t="s">
        <v>445</v>
      </c>
      <c r="J11" s="284">
        <v>6691.8</v>
      </c>
      <c r="K11" s="284"/>
      <c r="L11" s="287">
        <f>379.5+987</f>
        <v>1366.5</v>
      </c>
      <c r="M11" s="287">
        <v>921</v>
      </c>
      <c r="N11" s="58">
        <f t="shared" si="0"/>
        <v>7137.3</v>
      </c>
      <c r="O11" s="284">
        <f t="shared" si="1"/>
        <v>7637.3</v>
      </c>
      <c r="P11" s="249"/>
      <c r="Q11" s="275" t="s">
        <v>336</v>
      </c>
      <c r="R11" s="286" t="s">
        <v>1288</v>
      </c>
      <c r="S11" s="286"/>
    </row>
    <row r="12" spans="1:19" x14ac:dyDescent="0.3">
      <c r="A12" s="249" t="s">
        <v>659</v>
      </c>
      <c r="B12" s="249"/>
      <c r="C12" s="327" t="s">
        <v>809</v>
      </c>
      <c r="D12" s="29">
        <v>125922</v>
      </c>
      <c r="E12" s="41">
        <v>44758</v>
      </c>
      <c r="F12" s="249" t="s">
        <v>806</v>
      </c>
      <c r="G12" s="127" t="s">
        <v>280</v>
      </c>
      <c r="H12" s="127" t="s">
        <v>77</v>
      </c>
      <c r="I12" s="127" t="s">
        <v>158</v>
      </c>
      <c r="J12" s="284">
        <v>8773.2999999999993</v>
      </c>
      <c r="K12" s="284"/>
      <c r="L12" s="249">
        <v>472.08</v>
      </c>
      <c r="M12" s="287">
        <v>921</v>
      </c>
      <c r="N12" s="58">
        <f t="shared" si="0"/>
        <v>8324.3799999999992</v>
      </c>
      <c r="O12" s="284">
        <f t="shared" si="1"/>
        <v>8824.3799999999992</v>
      </c>
      <c r="P12" s="249"/>
      <c r="Q12" s="275" t="s">
        <v>336</v>
      </c>
      <c r="R12" s="286"/>
      <c r="S12" s="286"/>
    </row>
    <row r="13" spans="1:19" x14ac:dyDescent="0.3">
      <c r="A13" s="249" t="s">
        <v>659</v>
      </c>
      <c r="B13" s="249"/>
      <c r="C13" s="328" t="s">
        <v>818</v>
      </c>
      <c r="D13" s="31">
        <v>106803</v>
      </c>
      <c r="E13" s="41">
        <v>44776</v>
      </c>
      <c r="F13" s="249" t="s">
        <v>843</v>
      </c>
      <c r="G13" s="114" t="s">
        <v>287</v>
      </c>
      <c r="H13" s="114" t="s">
        <v>49</v>
      </c>
      <c r="I13" s="114" t="s">
        <v>445</v>
      </c>
      <c r="J13" s="284">
        <v>7980.2</v>
      </c>
      <c r="K13" s="284">
        <v>379.5</v>
      </c>
      <c r="L13" s="288">
        <f>421.94+893.8-K13</f>
        <v>936.24</v>
      </c>
      <c r="M13" s="287">
        <v>921</v>
      </c>
      <c r="N13" s="58">
        <f t="shared" si="0"/>
        <v>8374.94</v>
      </c>
      <c r="O13" s="284">
        <f t="shared" si="1"/>
        <v>8874.94</v>
      </c>
      <c r="P13" s="249"/>
      <c r="Q13" s="260" t="s">
        <v>336</v>
      </c>
      <c r="R13" s="286"/>
      <c r="S13" s="286"/>
    </row>
    <row r="14" spans="1:19" ht="15.75" customHeight="1" x14ac:dyDescent="0.3">
      <c r="A14" s="249" t="s">
        <v>659</v>
      </c>
      <c r="B14" s="249"/>
      <c r="C14" s="328" t="s">
        <v>820</v>
      </c>
      <c r="D14" s="31">
        <v>48867</v>
      </c>
      <c r="E14" s="41">
        <v>44776</v>
      </c>
      <c r="F14" s="249" t="s">
        <v>843</v>
      </c>
      <c r="G14" s="114" t="s">
        <v>280</v>
      </c>
      <c r="H14" s="114" t="s">
        <v>49</v>
      </c>
      <c r="I14" s="114" t="s">
        <v>511</v>
      </c>
      <c r="J14" s="284">
        <v>11240.45</v>
      </c>
      <c r="K14" s="284"/>
      <c r="L14" s="287">
        <f>399.63+492.5</f>
        <v>892.13</v>
      </c>
      <c r="M14" s="287">
        <v>921</v>
      </c>
      <c r="N14" s="58">
        <f t="shared" si="0"/>
        <v>11211.58</v>
      </c>
      <c r="O14" s="284">
        <f t="shared" si="1"/>
        <v>11711.58</v>
      </c>
      <c r="P14" s="249"/>
      <c r="Q14" s="260" t="s">
        <v>336</v>
      </c>
      <c r="R14" s="286" t="s">
        <v>1288</v>
      </c>
      <c r="S14" s="286"/>
    </row>
    <row r="15" spans="1:19" ht="15.75" customHeight="1" x14ac:dyDescent="0.3">
      <c r="A15" s="249" t="s">
        <v>659</v>
      </c>
      <c r="B15" s="249"/>
      <c r="C15" s="328" t="s">
        <v>824</v>
      </c>
      <c r="D15" s="31">
        <v>62190</v>
      </c>
      <c r="E15" s="41">
        <v>44776</v>
      </c>
      <c r="F15" s="249" t="s">
        <v>843</v>
      </c>
      <c r="G15" s="114" t="s">
        <v>287</v>
      </c>
      <c r="H15" s="114" t="s">
        <v>96</v>
      </c>
      <c r="I15" s="114" t="s">
        <v>837</v>
      </c>
      <c r="J15" s="284">
        <v>6440.35</v>
      </c>
      <c r="K15" s="284">
        <v>379.5</v>
      </c>
      <c r="L15" s="287">
        <f>1429.25-K15</f>
        <v>1049.75</v>
      </c>
      <c r="M15" s="287">
        <v>921</v>
      </c>
      <c r="N15" s="58">
        <f t="shared" si="0"/>
        <v>6948.6</v>
      </c>
      <c r="O15" s="284">
        <f t="shared" si="1"/>
        <v>7448.6</v>
      </c>
      <c r="P15" s="249"/>
      <c r="Q15" s="260" t="s">
        <v>336</v>
      </c>
      <c r="R15" s="286"/>
      <c r="S15" s="286"/>
    </row>
    <row r="16" spans="1:19" ht="15.75" customHeight="1" x14ac:dyDescent="0.3">
      <c r="A16" s="249" t="s">
        <v>659</v>
      </c>
      <c r="B16" s="249"/>
      <c r="C16" s="328" t="s">
        <v>827</v>
      </c>
      <c r="D16" s="31">
        <v>61550</v>
      </c>
      <c r="E16" s="41">
        <v>44776</v>
      </c>
      <c r="F16" s="249" t="s">
        <v>843</v>
      </c>
      <c r="G16" s="114" t="s">
        <v>508</v>
      </c>
      <c r="H16" s="114" t="s">
        <v>29</v>
      </c>
      <c r="I16" s="114" t="s">
        <v>217</v>
      </c>
      <c r="J16" s="284">
        <v>11448.6</v>
      </c>
      <c r="K16" s="284">
        <v>379.5</v>
      </c>
      <c r="L16" s="287">
        <v>480.7</v>
      </c>
      <c r="M16" s="287">
        <v>921</v>
      </c>
      <c r="N16" s="58">
        <f t="shared" si="0"/>
        <v>11387.800000000001</v>
      </c>
      <c r="O16" s="284">
        <f t="shared" si="1"/>
        <v>11887.800000000001</v>
      </c>
      <c r="P16" s="249"/>
      <c r="Q16" s="413" t="s">
        <v>336</v>
      </c>
      <c r="R16" s="286" t="s">
        <v>1259</v>
      </c>
      <c r="S16" s="286"/>
    </row>
    <row r="17" spans="1:23" ht="15.75" customHeight="1" x14ac:dyDescent="0.3">
      <c r="A17" s="249" t="s">
        <v>659</v>
      </c>
      <c r="B17" s="249"/>
      <c r="C17" s="328" t="s">
        <v>829</v>
      </c>
      <c r="D17" s="31">
        <v>106660</v>
      </c>
      <c r="E17" s="41">
        <v>44776</v>
      </c>
      <c r="F17" s="249" t="s">
        <v>843</v>
      </c>
      <c r="G17" s="114" t="s">
        <v>508</v>
      </c>
      <c r="H17" s="114" t="s">
        <v>44</v>
      </c>
      <c r="I17" s="114" t="s">
        <v>840</v>
      </c>
      <c r="J17" s="284">
        <v>14596.15</v>
      </c>
      <c r="K17" s="287">
        <v>379.5</v>
      </c>
      <c r="L17" s="287">
        <v>582.5</v>
      </c>
      <c r="M17" s="287">
        <v>921</v>
      </c>
      <c r="N17" s="58">
        <f t="shared" si="0"/>
        <v>14637.15</v>
      </c>
      <c r="O17" s="284">
        <f t="shared" si="1"/>
        <v>15137.15</v>
      </c>
      <c r="P17" s="249"/>
      <c r="Q17" s="260" t="s">
        <v>336</v>
      </c>
      <c r="R17" s="286" t="s">
        <v>1288</v>
      </c>
      <c r="S17" s="286"/>
    </row>
    <row r="18" spans="1:23" ht="15.75" customHeight="1" x14ac:dyDescent="0.3">
      <c r="A18" s="37" t="s">
        <v>659</v>
      </c>
      <c r="B18" s="37"/>
      <c r="C18" s="113" t="s">
        <v>1289</v>
      </c>
      <c r="D18" s="31"/>
      <c r="E18" s="41"/>
      <c r="F18" s="249"/>
      <c r="G18" s="114" t="s">
        <v>280</v>
      </c>
      <c r="H18" s="114" t="s">
        <v>49</v>
      </c>
      <c r="I18" s="114" t="s">
        <v>511</v>
      </c>
      <c r="J18" s="284">
        <v>9359.0499999999993</v>
      </c>
      <c r="K18" s="284">
        <f>330*1.15</f>
        <v>379.49999999999994</v>
      </c>
      <c r="L18" s="287">
        <f>149.5+394.85-K18</f>
        <v>164.85000000000008</v>
      </c>
      <c r="M18" s="287">
        <v>921</v>
      </c>
      <c r="N18" s="284">
        <f t="shared" si="0"/>
        <v>8982.4</v>
      </c>
      <c r="O18" s="284">
        <f t="shared" si="1"/>
        <v>9482.4</v>
      </c>
      <c r="P18" s="249"/>
      <c r="Q18" s="260" t="s">
        <v>1438</v>
      </c>
      <c r="R18" s="286" t="s">
        <v>1263</v>
      </c>
      <c r="S18" s="286"/>
    </row>
    <row r="19" spans="1:23" ht="15.75" customHeight="1" x14ac:dyDescent="0.3">
      <c r="A19" s="37" t="s">
        <v>659</v>
      </c>
      <c r="B19" s="37"/>
      <c r="C19" s="113" t="s">
        <v>1366</v>
      </c>
      <c r="D19" s="31"/>
      <c r="E19" s="41"/>
      <c r="F19" s="249"/>
      <c r="G19" s="114" t="s">
        <v>522</v>
      </c>
      <c r="H19" s="114" t="s">
        <v>16</v>
      </c>
      <c r="I19" s="114" t="s">
        <v>1367</v>
      </c>
      <c r="J19" s="284">
        <v>15264.3</v>
      </c>
      <c r="K19" s="284">
        <v>379.5</v>
      </c>
      <c r="L19" s="287">
        <v>793.5</v>
      </c>
      <c r="M19" s="287">
        <v>921</v>
      </c>
      <c r="N19" s="284">
        <f t="shared" si="0"/>
        <v>15516.3</v>
      </c>
      <c r="O19" s="284">
        <f t="shared" si="1"/>
        <v>16016.3</v>
      </c>
      <c r="P19" s="249"/>
      <c r="Q19" s="260" t="s">
        <v>1438</v>
      </c>
      <c r="R19" s="286" t="s">
        <v>1365</v>
      </c>
      <c r="S19" s="286"/>
    </row>
    <row r="20" spans="1:23" ht="15.75" customHeight="1" x14ac:dyDescent="0.3">
      <c r="A20" s="249" t="s">
        <v>659</v>
      </c>
      <c r="B20" s="249"/>
      <c r="C20" s="328" t="s">
        <v>831</v>
      </c>
      <c r="D20" s="31">
        <v>98863</v>
      </c>
      <c r="E20" s="41">
        <v>44776</v>
      </c>
      <c r="F20" s="249" t="s">
        <v>843</v>
      </c>
      <c r="G20" s="114" t="s">
        <v>278</v>
      </c>
      <c r="H20" s="114" t="s">
        <v>49</v>
      </c>
      <c r="I20" s="114" t="s">
        <v>511</v>
      </c>
      <c r="J20" s="284">
        <v>9434.9500000000007</v>
      </c>
      <c r="K20" s="284"/>
      <c r="L20" s="249">
        <f>453.31+149.5</f>
        <v>602.80999999999995</v>
      </c>
      <c r="M20" s="287">
        <v>921</v>
      </c>
      <c r="N20" s="58">
        <f t="shared" si="0"/>
        <v>9116.76</v>
      </c>
      <c r="O20" s="284">
        <f t="shared" si="1"/>
        <v>9616.76</v>
      </c>
      <c r="P20" s="249"/>
      <c r="Q20" s="249" t="s">
        <v>1155</v>
      </c>
      <c r="R20" s="286"/>
      <c r="S20" s="286"/>
    </row>
    <row r="21" spans="1:23" ht="15.75" customHeight="1" x14ac:dyDescent="0.3">
      <c r="A21" s="249" t="s">
        <v>659</v>
      </c>
      <c r="B21" s="249" t="s">
        <v>1523</v>
      </c>
      <c r="C21" s="327" t="s">
        <v>800</v>
      </c>
      <c r="D21" s="29">
        <v>22761</v>
      </c>
      <c r="E21" s="41">
        <v>44749</v>
      </c>
      <c r="F21" s="249" t="s">
        <v>798</v>
      </c>
      <c r="G21" s="127" t="s">
        <v>508</v>
      </c>
      <c r="H21" s="127" t="s">
        <v>49</v>
      </c>
      <c r="I21" s="127" t="s">
        <v>801</v>
      </c>
      <c r="J21" s="284">
        <v>8825.0499999999993</v>
      </c>
      <c r="K21" s="284"/>
      <c r="L21" s="249">
        <v>1023.04</v>
      </c>
      <c r="M21" s="287">
        <v>921</v>
      </c>
      <c r="N21" s="58">
        <f t="shared" si="0"/>
        <v>8927.09</v>
      </c>
      <c r="O21" s="284">
        <f t="shared" si="1"/>
        <v>9427.09</v>
      </c>
      <c r="P21" s="287">
        <v>9000</v>
      </c>
      <c r="Q21" s="260" t="s">
        <v>342</v>
      </c>
      <c r="R21" s="286"/>
      <c r="S21" s="299"/>
    </row>
    <row r="22" spans="1:23" ht="15.75" customHeight="1" x14ac:dyDescent="0.3">
      <c r="A22" s="142" t="s">
        <v>659</v>
      </c>
      <c r="B22" s="142"/>
      <c r="C22" s="321" t="s">
        <v>662</v>
      </c>
      <c r="D22" s="21">
        <v>92642</v>
      </c>
      <c r="E22" s="13">
        <v>44558</v>
      </c>
      <c r="F22" s="5" t="s">
        <v>69</v>
      </c>
      <c r="G22" s="190">
        <v>2010</v>
      </c>
      <c r="H22" s="125" t="s">
        <v>29</v>
      </c>
      <c r="I22" s="125" t="s">
        <v>341</v>
      </c>
      <c r="J22" s="58">
        <v>9868</v>
      </c>
      <c r="K22" s="58"/>
      <c r="L22" s="58">
        <v>788.25</v>
      </c>
      <c r="M22" s="287">
        <v>921</v>
      </c>
      <c r="N22" s="58">
        <f t="shared" si="0"/>
        <v>9735.25</v>
      </c>
      <c r="O22" s="58">
        <f t="shared" si="1"/>
        <v>10235.25</v>
      </c>
      <c r="P22" s="58">
        <v>9735.25</v>
      </c>
      <c r="Q22" s="276" t="s">
        <v>573</v>
      </c>
      <c r="R22" s="60"/>
    </row>
    <row r="23" spans="1:23" ht="15.75" customHeight="1" x14ac:dyDescent="0.3">
      <c r="A23" s="142" t="s">
        <v>659</v>
      </c>
      <c r="B23" s="142"/>
      <c r="C23" s="321" t="s">
        <v>747</v>
      </c>
      <c r="D23" s="21">
        <v>19915</v>
      </c>
      <c r="E23" s="13">
        <v>44633</v>
      </c>
      <c r="F23" s="5" t="s">
        <v>211</v>
      </c>
      <c r="G23" s="190">
        <v>2012</v>
      </c>
      <c r="H23" s="125" t="s">
        <v>21</v>
      </c>
      <c r="I23" s="125" t="s">
        <v>748</v>
      </c>
      <c r="J23" s="66">
        <v>12781</v>
      </c>
      <c r="K23" s="66"/>
      <c r="L23" s="66">
        <v>534.75</v>
      </c>
      <c r="M23" s="423">
        <v>1151</v>
      </c>
      <c r="N23" s="58">
        <f t="shared" si="0"/>
        <v>12164.75</v>
      </c>
      <c r="O23" s="58">
        <f t="shared" si="1"/>
        <v>12664.75</v>
      </c>
      <c r="P23" s="58">
        <v>12396.75</v>
      </c>
      <c r="Q23" s="276" t="s">
        <v>573</v>
      </c>
      <c r="R23" s="65" t="s">
        <v>73</v>
      </c>
    </row>
    <row r="24" spans="1:23" ht="15.75" customHeight="1" x14ac:dyDescent="0.3">
      <c r="A24" s="142" t="s">
        <v>659</v>
      </c>
      <c r="B24" s="142"/>
      <c r="C24" s="321" t="s">
        <v>749</v>
      </c>
      <c r="D24" s="21">
        <v>72081</v>
      </c>
      <c r="E24" s="13">
        <v>44633</v>
      </c>
      <c r="F24" s="5" t="s">
        <v>228</v>
      </c>
      <c r="G24" s="190">
        <v>2009</v>
      </c>
      <c r="H24" s="125" t="s">
        <v>29</v>
      </c>
      <c r="I24" s="125" t="s">
        <v>341</v>
      </c>
      <c r="J24" s="66">
        <v>9627</v>
      </c>
      <c r="K24" s="66"/>
      <c r="L24" s="66">
        <v>684.25</v>
      </c>
      <c r="M24" s="423">
        <v>921</v>
      </c>
      <c r="N24" s="58">
        <f t="shared" si="0"/>
        <v>9390.25</v>
      </c>
      <c r="O24" s="58">
        <f t="shared" si="1"/>
        <v>9890.25</v>
      </c>
      <c r="P24" s="58">
        <v>8816.25</v>
      </c>
      <c r="Q24" s="276" t="s">
        <v>573</v>
      </c>
      <c r="R24" s="65" t="s">
        <v>600</v>
      </c>
    </row>
    <row r="25" spans="1:23" ht="15.75" customHeight="1" x14ac:dyDescent="0.3">
      <c r="A25" s="249" t="s">
        <v>659</v>
      </c>
      <c r="B25" s="249"/>
      <c r="C25" s="327" t="s">
        <v>815</v>
      </c>
      <c r="D25" s="29">
        <v>81324</v>
      </c>
      <c r="E25" s="41">
        <v>44758</v>
      </c>
      <c r="F25" s="249" t="s">
        <v>806</v>
      </c>
      <c r="G25" s="127" t="s">
        <v>508</v>
      </c>
      <c r="H25" s="127" t="s">
        <v>212</v>
      </c>
      <c r="I25" s="127" t="s">
        <v>247</v>
      </c>
      <c r="J25" s="284">
        <v>6806.8</v>
      </c>
      <c r="K25" s="284"/>
      <c r="L25" s="287">
        <f>489.9+224.5+169.1</f>
        <v>883.5</v>
      </c>
      <c r="M25" s="287">
        <v>1151</v>
      </c>
      <c r="N25" s="58">
        <f t="shared" si="0"/>
        <v>6539.3</v>
      </c>
      <c r="O25" s="284">
        <f t="shared" si="1"/>
        <v>7039.3</v>
      </c>
      <c r="P25" s="287">
        <v>6806.8</v>
      </c>
      <c r="Q25" s="260" t="s">
        <v>573</v>
      </c>
      <c r="R25" s="286"/>
    </row>
    <row r="26" spans="1:23" ht="15.75" customHeight="1" x14ac:dyDescent="0.3">
      <c r="A26" s="142" t="s">
        <v>659</v>
      </c>
      <c r="B26" s="142"/>
      <c r="C26" s="321" t="s">
        <v>663</v>
      </c>
      <c r="D26" s="21">
        <v>176645</v>
      </c>
      <c r="E26" s="13">
        <v>44558</v>
      </c>
      <c r="F26" s="5" t="s">
        <v>69</v>
      </c>
      <c r="G26" s="190">
        <v>2009</v>
      </c>
      <c r="H26" s="125" t="s">
        <v>16</v>
      </c>
      <c r="I26" s="125" t="s">
        <v>160</v>
      </c>
      <c r="J26" s="58">
        <v>7446.1</v>
      </c>
      <c r="K26" s="58"/>
      <c r="L26" s="58">
        <v>857.01</v>
      </c>
      <c r="M26" s="423">
        <v>921</v>
      </c>
      <c r="N26" s="58">
        <f t="shared" si="0"/>
        <v>7382.1100000000006</v>
      </c>
      <c r="O26" s="58">
        <f t="shared" si="1"/>
        <v>7882.1100000000006</v>
      </c>
      <c r="P26" s="58">
        <v>10600</v>
      </c>
      <c r="Q26" s="276" t="s">
        <v>364</v>
      </c>
      <c r="R26" s="60" t="s">
        <v>600</v>
      </c>
    </row>
    <row r="27" spans="1:23" ht="15.75" customHeight="1" x14ac:dyDescent="0.3">
      <c r="A27" s="142" t="s">
        <v>659</v>
      </c>
      <c r="B27" s="142"/>
      <c r="C27" s="321" t="s">
        <v>695</v>
      </c>
      <c r="D27" s="21">
        <v>88513</v>
      </c>
      <c r="E27" s="13">
        <v>44633</v>
      </c>
      <c r="F27" s="5" t="s">
        <v>200</v>
      </c>
      <c r="G27" s="190">
        <v>2013</v>
      </c>
      <c r="H27" s="125" t="s">
        <v>696</v>
      </c>
      <c r="I27" s="125" t="s">
        <v>500</v>
      </c>
      <c r="J27" s="66">
        <v>11312</v>
      </c>
      <c r="K27" s="66"/>
      <c r="L27" s="66">
        <v>1669.23</v>
      </c>
      <c r="M27" s="423">
        <v>1151</v>
      </c>
      <c r="N27" s="58">
        <f t="shared" si="0"/>
        <v>11830.23</v>
      </c>
      <c r="O27" s="58">
        <f t="shared" si="1"/>
        <v>12330.23</v>
      </c>
      <c r="P27" s="58"/>
      <c r="Q27" s="276" t="s">
        <v>311</v>
      </c>
      <c r="R27" s="65" t="s">
        <v>73</v>
      </c>
    </row>
    <row r="28" spans="1:23" ht="15.75" customHeight="1" x14ac:dyDescent="0.3">
      <c r="A28" s="142" t="s">
        <v>659</v>
      </c>
      <c r="B28" s="142"/>
      <c r="C28" s="321" t="s">
        <v>697</v>
      </c>
      <c r="D28" s="21">
        <v>95904</v>
      </c>
      <c r="E28" s="13">
        <v>44633</v>
      </c>
      <c r="F28" s="5" t="s">
        <v>200</v>
      </c>
      <c r="G28" s="190">
        <v>2000</v>
      </c>
      <c r="H28" s="125" t="s">
        <v>29</v>
      </c>
      <c r="I28" s="125" t="s">
        <v>698</v>
      </c>
      <c r="J28" s="66">
        <v>20568</v>
      </c>
      <c r="K28" s="66"/>
      <c r="L28" s="66">
        <v>1935.45</v>
      </c>
      <c r="M28" s="423">
        <v>921</v>
      </c>
      <c r="N28" s="58">
        <f t="shared" si="0"/>
        <v>21582.45</v>
      </c>
      <c r="O28" s="58">
        <f t="shared" si="1"/>
        <v>22082.45</v>
      </c>
      <c r="P28" s="58"/>
      <c r="Q28" s="276" t="s">
        <v>311</v>
      </c>
      <c r="R28" s="65"/>
    </row>
    <row r="29" spans="1:23" ht="15.75" customHeight="1" x14ac:dyDescent="0.3">
      <c r="A29" s="186" t="s">
        <v>659</v>
      </c>
      <c r="B29" s="186"/>
      <c r="C29" s="329" t="s">
        <v>760</v>
      </c>
      <c r="D29" s="23">
        <v>66444</v>
      </c>
      <c r="E29" s="16">
        <v>44662</v>
      </c>
      <c r="F29" s="25" t="s">
        <v>167</v>
      </c>
      <c r="G29" s="268">
        <v>2014</v>
      </c>
      <c r="H29" s="25" t="s">
        <v>49</v>
      </c>
      <c r="I29" s="25" t="s">
        <v>445</v>
      </c>
      <c r="J29" s="284">
        <v>10877</v>
      </c>
      <c r="K29" s="284"/>
      <c r="L29" s="284">
        <v>801.87</v>
      </c>
      <c r="M29" s="424">
        <v>921</v>
      </c>
      <c r="N29" s="58">
        <f t="shared" si="0"/>
        <v>10757.87</v>
      </c>
      <c r="O29" s="284">
        <f t="shared" si="1"/>
        <v>11257.87</v>
      </c>
      <c r="P29" s="284"/>
      <c r="Q29" s="125" t="s">
        <v>311</v>
      </c>
      <c r="R29" s="65" t="s">
        <v>73</v>
      </c>
    </row>
    <row r="30" spans="1:23" ht="15.75" customHeight="1" x14ac:dyDescent="0.3">
      <c r="A30" s="186" t="s">
        <v>659</v>
      </c>
      <c r="B30" s="186"/>
      <c r="C30" s="329" t="s">
        <v>768</v>
      </c>
      <c r="D30" s="23">
        <v>52153</v>
      </c>
      <c r="E30" s="16">
        <v>44673</v>
      </c>
      <c r="F30" s="5" t="s">
        <v>766</v>
      </c>
      <c r="G30" s="268">
        <v>2014</v>
      </c>
      <c r="H30" s="25" t="s">
        <v>29</v>
      </c>
      <c r="I30" s="25" t="s">
        <v>189</v>
      </c>
      <c r="J30" s="284">
        <v>11737.99</v>
      </c>
      <c r="K30" s="284"/>
      <c r="L30" s="284">
        <v>761.96</v>
      </c>
      <c r="M30" s="424">
        <v>921</v>
      </c>
      <c r="N30" s="58">
        <f t="shared" si="0"/>
        <v>11578.95</v>
      </c>
      <c r="O30" s="284">
        <f t="shared" si="1"/>
        <v>12078.95</v>
      </c>
      <c r="P30" s="284"/>
      <c r="Q30" s="125" t="s">
        <v>311</v>
      </c>
      <c r="R30" s="65" t="s">
        <v>252</v>
      </c>
    </row>
    <row r="31" spans="1:23" ht="15.75" customHeight="1" x14ac:dyDescent="0.3">
      <c r="A31" s="186" t="s">
        <v>659</v>
      </c>
      <c r="B31" s="186"/>
      <c r="C31" s="328" t="s">
        <v>784</v>
      </c>
      <c r="D31" s="29">
        <v>63304</v>
      </c>
      <c r="E31" s="16">
        <v>44718</v>
      </c>
      <c r="F31" s="22" t="s">
        <v>277</v>
      </c>
      <c r="G31" s="127" t="s">
        <v>522</v>
      </c>
      <c r="H31" s="127" t="s">
        <v>96</v>
      </c>
      <c r="I31" s="127" t="s">
        <v>390</v>
      </c>
      <c r="J31" s="284">
        <v>9495</v>
      </c>
      <c r="K31" s="284"/>
      <c r="L31" s="249">
        <v>500.54</v>
      </c>
      <c r="M31" s="287">
        <v>921</v>
      </c>
      <c r="N31" s="58">
        <f t="shared" si="0"/>
        <v>9074.5400000000009</v>
      </c>
      <c r="O31" s="284">
        <f t="shared" si="1"/>
        <v>9574.5400000000009</v>
      </c>
      <c r="P31" s="249"/>
      <c r="Q31" s="260" t="s">
        <v>311</v>
      </c>
      <c r="R31" s="286"/>
      <c r="T31" s="12"/>
      <c r="U31" s="12"/>
      <c r="V31" s="12"/>
      <c r="W31" s="12"/>
    </row>
    <row r="32" spans="1:23" ht="15.75" customHeight="1" x14ac:dyDescent="0.3">
      <c r="A32" s="186" t="s">
        <v>659</v>
      </c>
      <c r="B32" s="186"/>
      <c r="C32" s="327" t="s">
        <v>786</v>
      </c>
      <c r="D32" s="29">
        <v>68115</v>
      </c>
      <c r="E32" s="16">
        <v>44718</v>
      </c>
      <c r="F32" s="22" t="s">
        <v>277</v>
      </c>
      <c r="G32" s="127" t="s">
        <v>280</v>
      </c>
      <c r="H32" s="127" t="s">
        <v>49</v>
      </c>
      <c r="I32" s="127" t="s">
        <v>511</v>
      </c>
      <c r="J32" s="284">
        <v>12873</v>
      </c>
      <c r="K32" s="284"/>
      <c r="L32" s="249">
        <v>504.85</v>
      </c>
      <c r="M32" s="287">
        <v>921</v>
      </c>
      <c r="N32" s="58">
        <f t="shared" si="0"/>
        <v>12456.85</v>
      </c>
      <c r="O32" s="284">
        <f t="shared" si="1"/>
        <v>12956.85</v>
      </c>
      <c r="P32" s="249"/>
      <c r="Q32" s="260" t="s">
        <v>311</v>
      </c>
      <c r="R32" s="286"/>
    </row>
    <row r="33" spans="1:23" ht="15.75" customHeight="1" x14ac:dyDescent="0.3">
      <c r="A33" s="186" t="s">
        <v>659</v>
      </c>
      <c r="B33" s="186"/>
      <c r="C33" s="327" t="s">
        <v>787</v>
      </c>
      <c r="D33" s="29">
        <v>80954</v>
      </c>
      <c r="E33" s="16">
        <v>44718</v>
      </c>
      <c r="F33" s="22" t="s">
        <v>277</v>
      </c>
      <c r="G33" s="127" t="s">
        <v>278</v>
      </c>
      <c r="H33" s="127" t="s">
        <v>49</v>
      </c>
      <c r="I33" s="127" t="s">
        <v>511</v>
      </c>
      <c r="J33" s="284">
        <v>10720</v>
      </c>
      <c r="K33" s="284"/>
      <c r="L33" s="249">
        <v>953.35</v>
      </c>
      <c r="M33" s="287">
        <v>921</v>
      </c>
      <c r="N33" s="58">
        <f t="shared" si="0"/>
        <v>10752.35</v>
      </c>
      <c r="O33" s="284">
        <f t="shared" si="1"/>
        <v>11252.35</v>
      </c>
      <c r="P33" s="249"/>
      <c r="Q33" s="260" t="s">
        <v>311</v>
      </c>
      <c r="R33" s="286"/>
    </row>
    <row r="34" spans="1:23" ht="15.75" customHeight="1" x14ac:dyDescent="0.3">
      <c r="A34" s="186" t="s">
        <v>659</v>
      </c>
      <c r="B34" s="186"/>
      <c r="C34" s="327" t="s">
        <v>788</v>
      </c>
      <c r="D34" s="29">
        <v>68267</v>
      </c>
      <c r="E34" s="16">
        <v>44718</v>
      </c>
      <c r="F34" s="22" t="s">
        <v>277</v>
      </c>
      <c r="G34" s="127" t="s">
        <v>280</v>
      </c>
      <c r="H34" s="127" t="s">
        <v>49</v>
      </c>
      <c r="I34" s="127" t="s">
        <v>511</v>
      </c>
      <c r="J34" s="284">
        <v>12566</v>
      </c>
      <c r="K34" s="284"/>
      <c r="L34" s="249">
        <v>493.35</v>
      </c>
      <c r="M34" s="287">
        <v>921</v>
      </c>
      <c r="N34" s="58">
        <f t="shared" ref="N34:N52" si="2">SUM(J34+K34+L34-M34)</f>
        <v>12138.35</v>
      </c>
      <c r="O34" s="284">
        <f t="shared" ref="O34:O52" si="3">SUM(N34+500)</f>
        <v>12638.35</v>
      </c>
      <c r="P34" s="249"/>
      <c r="Q34" s="260" t="s">
        <v>311</v>
      </c>
      <c r="R34" s="286"/>
    </row>
    <row r="35" spans="1:23" ht="15.75" customHeight="1" x14ac:dyDescent="0.3">
      <c r="A35" s="186" t="s">
        <v>659</v>
      </c>
      <c r="B35" s="186"/>
      <c r="C35" s="327" t="s">
        <v>789</v>
      </c>
      <c r="D35" s="29">
        <v>70283</v>
      </c>
      <c r="E35" s="16">
        <v>44718</v>
      </c>
      <c r="F35" s="22" t="s">
        <v>277</v>
      </c>
      <c r="G35" s="127" t="s">
        <v>287</v>
      </c>
      <c r="H35" s="127" t="s">
        <v>29</v>
      </c>
      <c r="I35" s="127" t="s">
        <v>665</v>
      </c>
      <c r="J35" s="284">
        <v>12855</v>
      </c>
      <c r="K35" s="284"/>
      <c r="L35" s="249">
        <v>1076.6300000000001</v>
      </c>
      <c r="M35" s="287">
        <v>921</v>
      </c>
      <c r="N35" s="58">
        <f t="shared" si="2"/>
        <v>13010.630000000001</v>
      </c>
      <c r="O35" s="284">
        <f t="shared" si="3"/>
        <v>13510.630000000001</v>
      </c>
      <c r="P35" s="249"/>
      <c r="Q35" s="260" t="s">
        <v>311</v>
      </c>
      <c r="R35" s="286"/>
      <c r="T35" s="12"/>
      <c r="U35" s="12"/>
      <c r="V35" s="12"/>
      <c r="W35" s="12"/>
    </row>
    <row r="36" spans="1:23" ht="15.75" customHeight="1" x14ac:dyDescent="0.3">
      <c r="A36" s="249" t="s">
        <v>659</v>
      </c>
      <c r="B36" s="249"/>
      <c r="C36" s="330" t="s">
        <v>792</v>
      </c>
      <c r="D36" s="29">
        <v>82323</v>
      </c>
      <c r="E36" s="7" t="s">
        <v>290</v>
      </c>
      <c r="F36" s="22" t="s">
        <v>275</v>
      </c>
      <c r="G36" s="128" t="s">
        <v>280</v>
      </c>
      <c r="H36" s="128" t="s">
        <v>49</v>
      </c>
      <c r="I36" s="128" t="s">
        <v>445</v>
      </c>
      <c r="J36" s="284">
        <v>5800</v>
      </c>
      <c r="K36" s="284"/>
      <c r="L36" s="249">
        <v>568.35</v>
      </c>
      <c r="M36" s="287">
        <v>921</v>
      </c>
      <c r="N36" s="58">
        <f t="shared" si="2"/>
        <v>5447.35</v>
      </c>
      <c r="O36" s="284">
        <f t="shared" si="3"/>
        <v>5947.35</v>
      </c>
      <c r="P36" s="249"/>
      <c r="Q36" s="260" t="s">
        <v>311</v>
      </c>
      <c r="R36" s="286"/>
    </row>
    <row r="37" spans="1:23" ht="15.75" customHeight="1" x14ac:dyDescent="0.3">
      <c r="A37" s="249" t="s">
        <v>659</v>
      </c>
      <c r="B37" s="249"/>
      <c r="C37" s="327" t="s">
        <v>797</v>
      </c>
      <c r="D37" s="29">
        <v>39212</v>
      </c>
      <c r="E37" s="41">
        <v>44749</v>
      </c>
      <c r="F37" s="249" t="s">
        <v>798</v>
      </c>
      <c r="G37" s="127" t="s">
        <v>522</v>
      </c>
      <c r="H37" s="127" t="s">
        <v>489</v>
      </c>
      <c r="I37" s="127" t="s">
        <v>799</v>
      </c>
      <c r="J37" s="284">
        <v>11770.2</v>
      </c>
      <c r="K37" s="284">
        <f>330*1.15</f>
        <v>379.49999999999994</v>
      </c>
      <c r="L37" s="288">
        <f>531.77-K37+667</f>
        <v>819.27</v>
      </c>
      <c r="M37" s="287"/>
      <c r="N37" s="58">
        <f t="shared" si="2"/>
        <v>12968.970000000001</v>
      </c>
      <c r="O37" s="284">
        <f t="shared" si="3"/>
        <v>13468.970000000001</v>
      </c>
      <c r="P37" s="249"/>
      <c r="Q37" s="260" t="s">
        <v>311</v>
      </c>
      <c r="R37" s="416" t="s">
        <v>1263</v>
      </c>
      <c r="T37" s="12"/>
      <c r="U37" s="12"/>
      <c r="V37" s="12"/>
      <c r="W37" s="12"/>
    </row>
    <row r="38" spans="1:23" ht="15.75" customHeight="1" x14ac:dyDescent="0.3">
      <c r="A38" s="249" t="s">
        <v>659</v>
      </c>
      <c r="B38" s="249" t="s">
        <v>1523</v>
      </c>
      <c r="C38" s="328" t="s">
        <v>833</v>
      </c>
      <c r="D38" s="31">
        <v>83798</v>
      </c>
      <c r="E38" s="41">
        <v>44776</v>
      </c>
      <c r="F38" s="249" t="s">
        <v>843</v>
      </c>
      <c r="G38" s="114" t="s">
        <v>280</v>
      </c>
      <c r="H38" s="114" t="s">
        <v>96</v>
      </c>
      <c r="I38" s="114" t="s">
        <v>383</v>
      </c>
      <c r="J38" s="284">
        <v>11233.55</v>
      </c>
      <c r="K38" s="284">
        <v>379.5</v>
      </c>
      <c r="L38" s="288">
        <f>617.55+149.5-K38</f>
        <v>387.54999999999995</v>
      </c>
      <c r="M38" s="287">
        <v>921</v>
      </c>
      <c r="N38" s="58">
        <f t="shared" si="2"/>
        <v>11079.599999999999</v>
      </c>
      <c r="O38" s="284">
        <f t="shared" si="3"/>
        <v>11579.599999999999</v>
      </c>
      <c r="P38" s="287">
        <v>12000</v>
      </c>
      <c r="Q38" s="260" t="s">
        <v>342</v>
      </c>
      <c r="R38" s="415" t="s">
        <v>1570</v>
      </c>
      <c r="T38" s="12"/>
      <c r="U38" s="12"/>
    </row>
    <row r="39" spans="1:23" ht="15.75" customHeight="1" x14ac:dyDescent="0.3">
      <c r="A39" s="249" t="s">
        <v>659</v>
      </c>
      <c r="B39" s="249"/>
      <c r="C39" s="327" t="s">
        <v>804</v>
      </c>
      <c r="D39" s="29">
        <v>79989</v>
      </c>
      <c r="E39" s="41">
        <v>44749</v>
      </c>
      <c r="F39" s="249" t="s">
        <v>798</v>
      </c>
      <c r="G39" s="127" t="s">
        <v>283</v>
      </c>
      <c r="H39" s="127" t="s">
        <v>212</v>
      </c>
      <c r="I39" s="127" t="s">
        <v>284</v>
      </c>
      <c r="J39" s="284">
        <v>6765.4</v>
      </c>
      <c r="K39" s="284"/>
      <c r="L39" s="249">
        <f>493.35+374.9</f>
        <v>868.25</v>
      </c>
      <c r="M39" s="287">
        <v>1151</v>
      </c>
      <c r="N39" s="58">
        <f t="shared" si="2"/>
        <v>6482.65</v>
      </c>
      <c r="O39" s="284">
        <f t="shared" si="3"/>
        <v>6982.65</v>
      </c>
      <c r="P39" s="249"/>
      <c r="Q39" s="275" t="s">
        <v>311</v>
      </c>
      <c r="R39" s="286"/>
    </row>
    <row r="40" spans="1:23" ht="15.75" customHeight="1" x14ac:dyDescent="0.3">
      <c r="A40" s="249" t="s">
        <v>659</v>
      </c>
      <c r="B40" s="249"/>
      <c r="C40" s="327" t="s">
        <v>810</v>
      </c>
      <c r="D40" s="29">
        <v>114528</v>
      </c>
      <c r="E40" s="41">
        <v>44758</v>
      </c>
      <c r="F40" s="249" t="s">
        <v>806</v>
      </c>
      <c r="G40" s="127" t="s">
        <v>278</v>
      </c>
      <c r="H40" s="127" t="s">
        <v>16</v>
      </c>
      <c r="I40" s="127" t="s">
        <v>234</v>
      </c>
      <c r="J40" s="284">
        <v>12349.8</v>
      </c>
      <c r="K40" s="284"/>
      <c r="L40" s="287">
        <f>522.1+262</f>
        <v>784.1</v>
      </c>
      <c r="M40" s="287">
        <v>921</v>
      </c>
      <c r="N40" s="58">
        <f t="shared" si="2"/>
        <v>12212.9</v>
      </c>
      <c r="O40" s="284">
        <f t="shared" si="3"/>
        <v>12712.9</v>
      </c>
      <c r="P40" s="249"/>
      <c r="Q40" s="275" t="s">
        <v>311</v>
      </c>
      <c r="R40" s="286"/>
    </row>
    <row r="41" spans="1:23" ht="15.75" customHeight="1" x14ac:dyDescent="0.3">
      <c r="A41" s="249" t="s">
        <v>659</v>
      </c>
      <c r="B41" s="249"/>
      <c r="C41" s="327" t="s">
        <v>812</v>
      </c>
      <c r="D41" s="29">
        <v>146022.21849599999</v>
      </c>
      <c r="E41" s="41">
        <v>44758</v>
      </c>
      <c r="F41" s="249" t="s">
        <v>806</v>
      </c>
      <c r="G41" s="127" t="s">
        <v>287</v>
      </c>
      <c r="H41" s="127" t="s">
        <v>16</v>
      </c>
      <c r="I41" s="127" t="s">
        <v>813</v>
      </c>
      <c r="J41" s="284">
        <v>13948.3</v>
      </c>
      <c r="K41" s="284"/>
      <c r="L41" s="249">
        <v>605.85</v>
      </c>
      <c r="M41" s="287">
        <v>921</v>
      </c>
      <c r="N41" s="58">
        <f t="shared" si="2"/>
        <v>13633.15</v>
      </c>
      <c r="O41" s="284">
        <f t="shared" si="3"/>
        <v>14133.15</v>
      </c>
      <c r="P41" s="249"/>
      <c r="Q41" s="260" t="s">
        <v>311</v>
      </c>
      <c r="R41" s="286"/>
    </row>
    <row r="42" spans="1:23" ht="15.75" customHeight="1" x14ac:dyDescent="0.3">
      <c r="A42" s="249" t="s">
        <v>659</v>
      </c>
      <c r="B42" s="249"/>
      <c r="C42" s="327" t="s">
        <v>814</v>
      </c>
      <c r="D42" s="29">
        <v>91293</v>
      </c>
      <c r="E42" s="41">
        <v>44758</v>
      </c>
      <c r="F42" s="249" t="s">
        <v>806</v>
      </c>
      <c r="G42" s="127" t="s">
        <v>278</v>
      </c>
      <c r="H42" s="127" t="s">
        <v>37</v>
      </c>
      <c r="I42" s="127" t="s">
        <v>440</v>
      </c>
      <c r="J42" s="284">
        <v>9268.9500000000007</v>
      </c>
      <c r="K42" s="284"/>
      <c r="L42" s="249">
        <f>877.45+262</f>
        <v>1139.45</v>
      </c>
      <c r="M42" s="287">
        <v>1151</v>
      </c>
      <c r="N42" s="58">
        <f t="shared" si="2"/>
        <v>9257.4000000000015</v>
      </c>
      <c r="O42" s="284">
        <f t="shared" si="3"/>
        <v>9757.4000000000015</v>
      </c>
      <c r="P42" s="249"/>
      <c r="Q42" s="260" t="s">
        <v>311</v>
      </c>
      <c r="R42" s="286"/>
    </row>
    <row r="43" spans="1:23" ht="15.75" customHeight="1" x14ac:dyDescent="0.3">
      <c r="A43" s="249" t="s">
        <v>659</v>
      </c>
      <c r="B43" s="249"/>
      <c r="C43" s="328" t="s">
        <v>819</v>
      </c>
      <c r="D43" s="31">
        <v>99035</v>
      </c>
      <c r="E43" s="41">
        <v>44776</v>
      </c>
      <c r="F43" s="249" t="s">
        <v>843</v>
      </c>
      <c r="G43" s="114" t="s">
        <v>278</v>
      </c>
      <c r="H43" s="114" t="s">
        <v>49</v>
      </c>
      <c r="I43" s="114" t="s">
        <v>445</v>
      </c>
      <c r="J43" s="284">
        <v>9263.6</v>
      </c>
      <c r="K43" s="284"/>
      <c r="L43" s="249">
        <f>394.85+262</f>
        <v>656.85</v>
      </c>
      <c r="M43" s="287">
        <v>921</v>
      </c>
      <c r="N43" s="58">
        <f t="shared" si="2"/>
        <v>8999.4500000000007</v>
      </c>
      <c r="O43" s="284">
        <f t="shared" si="3"/>
        <v>9499.4500000000007</v>
      </c>
      <c r="P43" s="249"/>
      <c r="Q43" s="249" t="s">
        <v>311</v>
      </c>
      <c r="R43" s="286"/>
    </row>
    <row r="44" spans="1:23" ht="15.75" customHeight="1" x14ac:dyDescent="0.3">
      <c r="A44" s="249" t="s">
        <v>659</v>
      </c>
      <c r="B44" s="249"/>
      <c r="C44" s="328" t="s">
        <v>821</v>
      </c>
      <c r="D44" s="31">
        <v>6841</v>
      </c>
      <c r="E44" s="41">
        <v>44776</v>
      </c>
      <c r="F44" s="249" t="s">
        <v>843</v>
      </c>
      <c r="G44" s="114" t="s">
        <v>280</v>
      </c>
      <c r="H44" s="114" t="s">
        <v>49</v>
      </c>
      <c r="I44" s="114" t="s">
        <v>511</v>
      </c>
      <c r="J44" s="284">
        <v>11910.9</v>
      </c>
      <c r="K44" s="284">
        <f>330*1.15</f>
        <v>379.49999999999994</v>
      </c>
      <c r="L44" s="287">
        <f>149.5+1282.25-K44</f>
        <v>1052.25</v>
      </c>
      <c r="M44" s="287">
        <v>921</v>
      </c>
      <c r="N44" s="58">
        <f t="shared" si="2"/>
        <v>12421.65</v>
      </c>
      <c r="O44" s="284">
        <f t="shared" si="3"/>
        <v>12921.65</v>
      </c>
      <c r="P44" s="249"/>
      <c r="Q44" s="249" t="s">
        <v>1438</v>
      </c>
      <c r="R44" s="286" t="s">
        <v>1639</v>
      </c>
    </row>
    <row r="45" spans="1:23" ht="15.75" customHeight="1" x14ac:dyDescent="0.3">
      <c r="A45" s="249" t="s">
        <v>659</v>
      </c>
      <c r="B45" s="249" t="s">
        <v>1523</v>
      </c>
      <c r="C45" s="328" t="s">
        <v>822</v>
      </c>
      <c r="D45" s="31">
        <v>116595</v>
      </c>
      <c r="E45" s="41">
        <v>44776</v>
      </c>
      <c r="F45" s="249" t="s">
        <v>843</v>
      </c>
      <c r="G45" s="114" t="s">
        <v>278</v>
      </c>
      <c r="H45" s="114" t="s">
        <v>16</v>
      </c>
      <c r="I45" s="114" t="s">
        <v>836</v>
      </c>
      <c r="J45" s="284">
        <v>13821.05</v>
      </c>
      <c r="K45" s="284">
        <f>330*1.15</f>
        <v>379.49999999999994</v>
      </c>
      <c r="L45" s="287">
        <f>952.78-K45+401.35</f>
        <v>974.63</v>
      </c>
      <c r="M45" s="287">
        <v>921</v>
      </c>
      <c r="N45" s="58">
        <f t="shared" si="2"/>
        <v>14254.179999999998</v>
      </c>
      <c r="O45" s="284">
        <f t="shared" si="3"/>
        <v>14754.179999999998</v>
      </c>
      <c r="P45" s="249"/>
      <c r="Q45" s="249" t="s">
        <v>311</v>
      </c>
      <c r="R45" s="286"/>
    </row>
    <row r="46" spans="1:23" ht="15.75" customHeight="1" x14ac:dyDescent="0.3">
      <c r="A46" s="249" t="s">
        <v>659</v>
      </c>
      <c r="B46" s="249"/>
      <c r="C46" s="328" t="s">
        <v>828</v>
      </c>
      <c r="D46" s="31">
        <v>116661</v>
      </c>
      <c r="E46" s="41">
        <v>44776</v>
      </c>
      <c r="F46" s="249" t="s">
        <v>843</v>
      </c>
      <c r="G46" s="114" t="s">
        <v>839</v>
      </c>
      <c r="H46" s="114" t="s">
        <v>29</v>
      </c>
      <c r="I46" s="114" t="s">
        <v>217</v>
      </c>
      <c r="J46" s="284">
        <v>8518.4</v>
      </c>
      <c r="K46" s="284"/>
      <c r="L46" s="287">
        <f>224.5+389.74</f>
        <v>614.24</v>
      </c>
      <c r="M46" s="287">
        <v>921</v>
      </c>
      <c r="N46" s="58">
        <f t="shared" si="2"/>
        <v>8211.64</v>
      </c>
      <c r="O46" s="284">
        <f t="shared" si="3"/>
        <v>8711.64</v>
      </c>
      <c r="P46" s="249"/>
      <c r="Q46" s="249" t="s">
        <v>311</v>
      </c>
      <c r="R46" s="286"/>
    </row>
    <row r="47" spans="1:23" ht="15.75" customHeight="1" x14ac:dyDescent="0.3">
      <c r="A47" s="249" t="s">
        <v>659</v>
      </c>
      <c r="B47" s="249"/>
      <c r="C47" s="328" t="s">
        <v>832</v>
      </c>
      <c r="D47" s="31">
        <v>66897</v>
      </c>
      <c r="E47" s="41">
        <v>44776</v>
      </c>
      <c r="F47" s="249" t="s">
        <v>843</v>
      </c>
      <c r="G47" s="114" t="s">
        <v>278</v>
      </c>
      <c r="H47" s="114" t="s">
        <v>29</v>
      </c>
      <c r="I47" s="114" t="s">
        <v>189</v>
      </c>
      <c r="J47" s="284">
        <v>10699.95</v>
      </c>
      <c r="K47" s="284">
        <v>379.5</v>
      </c>
      <c r="L47" s="287">
        <v>492.5</v>
      </c>
      <c r="M47" s="287">
        <v>921</v>
      </c>
      <c r="N47" s="58">
        <f t="shared" si="2"/>
        <v>10650.95</v>
      </c>
      <c r="O47" s="284">
        <f t="shared" si="3"/>
        <v>11150.95</v>
      </c>
      <c r="P47" s="249"/>
      <c r="Q47" s="260" t="s">
        <v>311</v>
      </c>
      <c r="R47" s="286" t="s">
        <v>1368</v>
      </c>
    </row>
    <row r="48" spans="1:23" ht="15.75" customHeight="1" x14ac:dyDescent="0.3">
      <c r="A48" s="249" t="s">
        <v>659</v>
      </c>
      <c r="B48" s="249" t="s">
        <v>1523</v>
      </c>
      <c r="C48" s="113" t="s">
        <v>1264</v>
      </c>
      <c r="D48" s="394">
        <v>45801</v>
      </c>
      <c r="E48" s="37"/>
      <c r="F48" s="37" t="s">
        <v>1618</v>
      </c>
      <c r="G48" s="114">
        <v>2015</v>
      </c>
      <c r="H48" s="114" t="s">
        <v>542</v>
      </c>
      <c r="I48" s="114" t="s">
        <v>763</v>
      </c>
      <c r="J48" s="284">
        <v>14757.15</v>
      </c>
      <c r="K48" s="284">
        <v>379.5</v>
      </c>
      <c r="L48" s="287">
        <v>161</v>
      </c>
      <c r="M48" s="287">
        <v>1151</v>
      </c>
      <c r="N48" s="58">
        <f t="shared" si="2"/>
        <v>14146.65</v>
      </c>
      <c r="O48" s="284">
        <f t="shared" si="3"/>
        <v>14646.65</v>
      </c>
      <c r="P48" s="287">
        <v>15000</v>
      </c>
      <c r="Q48" s="260" t="s">
        <v>342</v>
      </c>
      <c r="R48" s="286" t="s">
        <v>1570</v>
      </c>
    </row>
    <row r="49" spans="1:23" ht="15.75" customHeight="1" x14ac:dyDescent="0.3">
      <c r="A49" s="249" t="s">
        <v>659</v>
      </c>
      <c r="B49" s="249"/>
      <c r="C49" s="328" t="s">
        <v>834</v>
      </c>
      <c r="D49" s="31">
        <v>107946</v>
      </c>
      <c r="E49" s="41">
        <v>44776</v>
      </c>
      <c r="F49" s="249" t="s">
        <v>843</v>
      </c>
      <c r="G49" s="114" t="s">
        <v>278</v>
      </c>
      <c r="H49" s="114" t="s">
        <v>450</v>
      </c>
      <c r="I49" s="114" t="s">
        <v>451</v>
      </c>
      <c r="J49" s="284">
        <v>9684.5</v>
      </c>
      <c r="K49" s="284"/>
      <c r="L49" s="287">
        <f>755.55+269.56</f>
        <v>1025.1099999999999</v>
      </c>
      <c r="M49" s="287">
        <v>921</v>
      </c>
      <c r="N49" s="58">
        <f t="shared" si="2"/>
        <v>9788.61</v>
      </c>
      <c r="O49" s="284">
        <f t="shared" si="3"/>
        <v>10288.61</v>
      </c>
      <c r="P49" s="249"/>
      <c r="Q49" s="260" t="s">
        <v>311</v>
      </c>
      <c r="R49" s="416" t="s">
        <v>1263</v>
      </c>
      <c r="T49" s="12"/>
      <c r="U49" s="12"/>
      <c r="V49" s="12"/>
      <c r="W49" s="12"/>
    </row>
    <row r="50" spans="1:23" ht="15.75" customHeight="1" x14ac:dyDescent="0.3">
      <c r="A50" s="37" t="s">
        <v>659</v>
      </c>
      <c r="B50" s="37"/>
      <c r="C50" s="113" t="s">
        <v>1364</v>
      </c>
      <c r="D50" s="31"/>
      <c r="E50" s="41"/>
      <c r="F50" s="249"/>
      <c r="G50" s="114" t="s">
        <v>278</v>
      </c>
      <c r="H50" s="114" t="s">
        <v>16</v>
      </c>
      <c r="I50" s="114" t="s">
        <v>222</v>
      </c>
      <c r="J50" s="284">
        <v>19427.3</v>
      </c>
      <c r="K50" s="284">
        <f>379.5+224.5</f>
        <v>604</v>
      </c>
      <c r="L50" s="249"/>
      <c r="M50" s="287">
        <v>921</v>
      </c>
      <c r="N50" s="284">
        <f t="shared" si="2"/>
        <v>19110.3</v>
      </c>
      <c r="O50" s="284">
        <f t="shared" si="3"/>
        <v>19610.3</v>
      </c>
      <c r="P50" s="286"/>
      <c r="Q50" s="298" t="s">
        <v>311</v>
      </c>
      <c r="R50" s="286" t="s">
        <v>1365</v>
      </c>
      <c r="T50" s="12"/>
      <c r="U50" s="12"/>
      <c r="V50" s="12"/>
      <c r="W50" s="12"/>
    </row>
    <row r="51" spans="1:23" ht="15.75" customHeight="1" x14ac:dyDescent="0.3">
      <c r="A51" s="249" t="s">
        <v>659</v>
      </c>
      <c r="B51" s="249"/>
      <c r="C51" s="328" t="s">
        <v>817</v>
      </c>
      <c r="D51" s="31">
        <v>35666</v>
      </c>
      <c r="E51" s="41">
        <v>44776</v>
      </c>
      <c r="F51" s="249" t="s">
        <v>843</v>
      </c>
      <c r="G51" s="114" t="s">
        <v>278</v>
      </c>
      <c r="H51" s="114" t="s">
        <v>49</v>
      </c>
      <c r="I51" s="114" t="s">
        <v>511</v>
      </c>
      <c r="J51" s="284">
        <v>7820.35</v>
      </c>
      <c r="K51" s="284"/>
      <c r="L51" s="249">
        <v>440.91</v>
      </c>
      <c r="M51" s="287">
        <v>921</v>
      </c>
      <c r="N51" s="58">
        <f t="shared" si="2"/>
        <v>7340.26</v>
      </c>
      <c r="O51" s="284">
        <f t="shared" si="3"/>
        <v>7840.26</v>
      </c>
      <c r="P51" s="286"/>
      <c r="Q51" s="286" t="s">
        <v>1154</v>
      </c>
      <c r="R51" s="286"/>
      <c r="T51" s="12"/>
      <c r="U51" s="12"/>
      <c r="V51" s="12"/>
      <c r="W51" s="12"/>
    </row>
    <row r="52" spans="1:23" ht="15.75" customHeight="1" x14ac:dyDescent="0.3">
      <c r="A52" s="249" t="s">
        <v>659</v>
      </c>
      <c r="B52" s="249"/>
      <c r="C52" s="328" t="s">
        <v>825</v>
      </c>
      <c r="D52" s="31">
        <v>131350</v>
      </c>
      <c r="E52" s="41">
        <v>44776</v>
      </c>
      <c r="F52" s="249" t="s">
        <v>843</v>
      </c>
      <c r="G52" s="114" t="s">
        <v>838</v>
      </c>
      <c r="H52" s="114" t="s">
        <v>450</v>
      </c>
      <c r="I52" s="114" t="s">
        <v>451</v>
      </c>
      <c r="J52" s="284">
        <v>5773.35</v>
      </c>
      <c r="K52" s="287">
        <f>330*1.15</f>
        <v>379.49999999999994</v>
      </c>
      <c r="L52" s="284">
        <f>1383.45-K52+642.51</f>
        <v>1646.46</v>
      </c>
      <c r="M52" s="287">
        <v>921</v>
      </c>
      <c r="N52" s="58">
        <f t="shared" si="2"/>
        <v>6878.31</v>
      </c>
      <c r="O52" s="284">
        <f t="shared" si="3"/>
        <v>7378.31</v>
      </c>
      <c r="P52" s="286"/>
      <c r="Q52" s="286" t="s">
        <v>1154</v>
      </c>
      <c r="R52" s="286"/>
      <c r="T52" s="12"/>
      <c r="U52" s="12"/>
      <c r="V52" s="12"/>
      <c r="W52" s="12"/>
    </row>
    <row r="53" spans="1:23" ht="15.75" customHeight="1" x14ac:dyDescent="0.3">
      <c r="A53" s="186" t="s">
        <v>659</v>
      </c>
      <c r="B53" s="249"/>
      <c r="C53" s="371" t="s">
        <v>1574</v>
      </c>
      <c r="D53" s="249"/>
      <c r="E53" s="249"/>
      <c r="F53" s="409" t="s">
        <v>1578</v>
      </c>
      <c r="G53" s="114" t="s">
        <v>278</v>
      </c>
      <c r="H53" s="114" t="s">
        <v>49</v>
      </c>
      <c r="I53" s="114" t="s">
        <v>445</v>
      </c>
      <c r="J53" s="284">
        <v>9120.2000000000007</v>
      </c>
      <c r="K53" s="287"/>
      <c r="L53" s="284"/>
      <c r="M53" s="287"/>
      <c r="N53" s="58">
        <f t="shared" ref="N53:N54" si="4">SUM(J53+K53+L53-M53)</f>
        <v>9120.2000000000007</v>
      </c>
      <c r="O53" s="284">
        <f t="shared" ref="O53:O54" si="5">SUM(N53+500)</f>
        <v>9620.2000000000007</v>
      </c>
      <c r="P53" s="286"/>
      <c r="Q53" s="286" t="s">
        <v>311</v>
      </c>
      <c r="R53" s="286"/>
      <c r="T53" s="12"/>
      <c r="U53" s="12"/>
      <c r="V53" s="12"/>
      <c r="W53" s="12"/>
    </row>
    <row r="54" spans="1:23" ht="15.75" customHeight="1" x14ac:dyDescent="0.3">
      <c r="A54" s="186" t="s">
        <v>659</v>
      </c>
      <c r="B54" s="249"/>
      <c r="C54" s="371" t="s">
        <v>1576</v>
      </c>
      <c r="D54" s="249"/>
      <c r="E54" s="249"/>
      <c r="F54" s="409" t="s">
        <v>1578</v>
      </c>
      <c r="G54" s="114" t="s">
        <v>508</v>
      </c>
      <c r="H54" s="114" t="s">
        <v>29</v>
      </c>
      <c r="I54" s="114" t="s">
        <v>217</v>
      </c>
      <c r="J54" s="284">
        <v>9192.65</v>
      </c>
      <c r="K54" s="287"/>
      <c r="L54" s="284"/>
      <c r="M54" s="287"/>
      <c r="N54" s="58">
        <f t="shared" si="4"/>
        <v>9192.65</v>
      </c>
      <c r="O54" s="284">
        <f t="shared" si="5"/>
        <v>9692.65</v>
      </c>
      <c r="P54" s="286"/>
      <c r="Q54" s="286" t="s">
        <v>311</v>
      </c>
      <c r="R54" s="286"/>
    </row>
    <row r="55" spans="1:23" ht="15.75" customHeight="1" x14ac:dyDescent="0.3">
      <c r="A55" s="186" t="s">
        <v>659</v>
      </c>
      <c r="B55" s="249"/>
      <c r="C55" s="371" t="s">
        <v>1577</v>
      </c>
      <c r="D55" s="249"/>
      <c r="E55" s="249"/>
      <c r="F55" s="409" t="s">
        <v>1578</v>
      </c>
      <c r="G55" s="114" t="s">
        <v>287</v>
      </c>
      <c r="H55" s="114" t="s">
        <v>29</v>
      </c>
      <c r="I55" s="114" t="s">
        <v>217</v>
      </c>
      <c r="J55" s="284">
        <v>11822.7</v>
      </c>
      <c r="K55" s="287">
        <v>379.5</v>
      </c>
      <c r="L55" s="284">
        <v>149.5</v>
      </c>
      <c r="M55" s="287">
        <v>921</v>
      </c>
      <c r="N55" s="58">
        <f>SUM(J55+K55+L55)</f>
        <v>12351.7</v>
      </c>
      <c r="O55" s="284">
        <f t="shared" ref="O55:O86" si="6">SUM(N55+500)</f>
        <v>12851.7</v>
      </c>
      <c r="P55" s="286"/>
      <c r="Q55" s="286" t="s">
        <v>1155</v>
      </c>
      <c r="R55" s="286" t="s">
        <v>1639</v>
      </c>
    </row>
    <row r="56" spans="1:23" ht="15.75" customHeight="1" x14ac:dyDescent="0.3">
      <c r="A56" s="249" t="s">
        <v>1619</v>
      </c>
      <c r="B56" s="249"/>
      <c r="C56" s="328" t="s">
        <v>835</v>
      </c>
      <c r="D56" s="31">
        <v>255715</v>
      </c>
      <c r="E56" s="41">
        <v>44776</v>
      </c>
      <c r="F56" s="249" t="s">
        <v>843</v>
      </c>
      <c r="G56" s="114" t="s">
        <v>287</v>
      </c>
      <c r="H56" s="114" t="s">
        <v>162</v>
      </c>
      <c r="I56" s="114" t="s">
        <v>842</v>
      </c>
      <c r="J56" s="284">
        <v>26404.35</v>
      </c>
      <c r="K56" s="284">
        <f>645*1.15</f>
        <v>741.74999999999989</v>
      </c>
      <c r="L56" s="287">
        <f>4021.39-K56</f>
        <v>3279.64</v>
      </c>
      <c r="M56" s="287">
        <v>921</v>
      </c>
      <c r="N56" s="58">
        <f t="shared" ref="N56:N72" si="7">SUM(J56+K56+L56-M56)</f>
        <v>29504.739999999998</v>
      </c>
      <c r="O56" s="284">
        <f t="shared" si="6"/>
        <v>30004.739999999998</v>
      </c>
      <c r="P56" s="286"/>
      <c r="Q56" s="298" t="s">
        <v>311</v>
      </c>
      <c r="R56" s="286" t="s">
        <v>1276</v>
      </c>
      <c r="S56" s="397"/>
    </row>
    <row r="57" spans="1:23" ht="15.75" customHeight="1" x14ac:dyDescent="0.3">
      <c r="A57" s="5" t="s">
        <v>547</v>
      </c>
      <c r="B57" s="5"/>
      <c r="C57" s="321" t="s">
        <v>590</v>
      </c>
      <c r="D57" s="21">
        <v>77771</v>
      </c>
      <c r="E57" s="13">
        <v>44248</v>
      </c>
      <c r="F57" s="5" t="s">
        <v>69</v>
      </c>
      <c r="G57" s="190">
        <v>2014</v>
      </c>
      <c r="H57" s="125" t="s">
        <v>49</v>
      </c>
      <c r="I57" s="125" t="s">
        <v>445</v>
      </c>
      <c r="J57" s="58">
        <v>8296.1</v>
      </c>
      <c r="K57" s="58"/>
      <c r="L57" s="58">
        <v>1833.89</v>
      </c>
      <c r="M57" s="423">
        <v>921</v>
      </c>
      <c r="N57" s="58">
        <f t="shared" si="7"/>
        <v>9208.99</v>
      </c>
      <c r="O57" s="58">
        <f t="shared" si="6"/>
        <v>9708.99</v>
      </c>
      <c r="P57" s="63">
        <v>10000</v>
      </c>
      <c r="Q57" s="181" t="s">
        <v>591</v>
      </c>
      <c r="R57" s="59"/>
      <c r="S57" s="299"/>
    </row>
    <row r="58" spans="1:23" ht="15.75" customHeight="1" x14ac:dyDescent="0.3">
      <c r="A58" s="5" t="s">
        <v>547</v>
      </c>
      <c r="B58" s="5"/>
      <c r="C58" s="321" t="s">
        <v>605</v>
      </c>
      <c r="D58" s="21">
        <v>92807</v>
      </c>
      <c r="E58" s="13">
        <v>44460</v>
      </c>
      <c r="F58" s="5" t="s">
        <v>470</v>
      </c>
      <c r="G58" s="190">
        <v>2010</v>
      </c>
      <c r="H58" s="125" t="s">
        <v>96</v>
      </c>
      <c r="I58" s="125" t="s">
        <v>383</v>
      </c>
      <c r="J58" s="58">
        <v>8809.65</v>
      </c>
      <c r="K58" s="58"/>
      <c r="L58" s="58">
        <v>1019.71</v>
      </c>
      <c r="M58" s="423">
        <v>921</v>
      </c>
      <c r="N58" s="58">
        <f t="shared" si="7"/>
        <v>8908.36</v>
      </c>
      <c r="O58" s="58">
        <f t="shared" si="6"/>
        <v>9408.36</v>
      </c>
      <c r="P58" s="63">
        <v>9500</v>
      </c>
      <c r="Q58" s="181" t="s">
        <v>606</v>
      </c>
      <c r="R58" s="59"/>
      <c r="S58" s="299"/>
      <c r="T58" s="12"/>
      <c r="U58" s="12"/>
      <c r="V58" s="12"/>
      <c r="W58" s="12"/>
    </row>
    <row r="59" spans="1:23" ht="15.75" customHeight="1" x14ac:dyDescent="0.3">
      <c r="A59" s="5" t="s">
        <v>547</v>
      </c>
      <c r="B59" s="5"/>
      <c r="C59" s="321" t="s">
        <v>619</v>
      </c>
      <c r="D59" s="21">
        <v>72568</v>
      </c>
      <c r="E59" s="13">
        <v>44515</v>
      </c>
      <c r="F59" s="5" t="s">
        <v>79</v>
      </c>
      <c r="G59" s="190">
        <v>2008</v>
      </c>
      <c r="H59" s="125" t="s">
        <v>21</v>
      </c>
      <c r="I59" s="125" t="s">
        <v>127</v>
      </c>
      <c r="J59" s="58">
        <v>8413.6</v>
      </c>
      <c r="K59" s="58"/>
      <c r="L59" s="58">
        <v>1035.25</v>
      </c>
      <c r="M59" s="423">
        <v>1151</v>
      </c>
      <c r="N59" s="58">
        <f t="shared" si="7"/>
        <v>8297.85</v>
      </c>
      <c r="O59" s="58">
        <f t="shared" si="6"/>
        <v>8797.85</v>
      </c>
      <c r="P59" s="63">
        <v>9000</v>
      </c>
      <c r="Q59" s="181" t="s">
        <v>606</v>
      </c>
      <c r="R59" s="59"/>
      <c r="S59" s="299"/>
      <c r="T59" s="12"/>
      <c r="U59" s="12"/>
    </row>
    <row r="60" spans="1:23" ht="15.75" customHeight="1" x14ac:dyDescent="0.3">
      <c r="A60" s="5" t="s">
        <v>547</v>
      </c>
      <c r="B60" s="5"/>
      <c r="C60" s="321" t="s">
        <v>649</v>
      </c>
      <c r="D60" s="21">
        <v>75460</v>
      </c>
      <c r="E60" s="13">
        <v>44545</v>
      </c>
      <c r="F60" s="5" t="s">
        <v>149</v>
      </c>
      <c r="G60" s="190">
        <v>2012</v>
      </c>
      <c r="H60" s="125" t="s">
        <v>123</v>
      </c>
      <c r="I60" s="125" t="s">
        <v>206</v>
      </c>
      <c r="J60" s="58">
        <v>7990.05</v>
      </c>
      <c r="K60" s="58"/>
      <c r="L60" s="58">
        <v>914.25</v>
      </c>
      <c r="M60" s="423">
        <v>1151</v>
      </c>
      <c r="N60" s="58">
        <f t="shared" si="7"/>
        <v>7753.2999999999993</v>
      </c>
      <c r="O60" s="58">
        <f t="shared" si="6"/>
        <v>8253.2999999999993</v>
      </c>
      <c r="P60" s="63">
        <v>8950</v>
      </c>
      <c r="Q60" s="277" t="s">
        <v>606</v>
      </c>
      <c r="R60" s="60"/>
      <c r="S60" s="299"/>
    </row>
    <row r="61" spans="1:23" ht="15.75" customHeight="1" x14ac:dyDescent="0.3">
      <c r="A61" s="5" t="s">
        <v>547</v>
      </c>
      <c r="B61" s="5"/>
      <c r="C61" s="321" t="s">
        <v>578</v>
      </c>
      <c r="D61" s="21">
        <v>80635</v>
      </c>
      <c r="E61" s="13">
        <v>44213</v>
      </c>
      <c r="F61" s="5" t="s">
        <v>48</v>
      </c>
      <c r="G61" s="190">
        <v>2011</v>
      </c>
      <c r="H61" s="125" t="s">
        <v>21</v>
      </c>
      <c r="I61" s="125" t="s">
        <v>109</v>
      </c>
      <c r="J61" s="58">
        <v>10493.75</v>
      </c>
      <c r="K61" s="58"/>
      <c r="L61" s="58">
        <v>2737.51</v>
      </c>
      <c r="M61" s="423">
        <v>1151</v>
      </c>
      <c r="N61" s="58">
        <f t="shared" si="7"/>
        <v>12080.26</v>
      </c>
      <c r="O61" s="58">
        <f t="shared" si="6"/>
        <v>12580.26</v>
      </c>
      <c r="P61" s="63">
        <v>13231.26</v>
      </c>
      <c r="Q61" s="181" t="s">
        <v>342</v>
      </c>
      <c r="R61" s="59"/>
      <c r="S61" s="299"/>
    </row>
    <row r="62" spans="1:23" ht="15.75" customHeight="1" x14ac:dyDescent="0.3">
      <c r="A62" s="5" t="s">
        <v>547</v>
      </c>
      <c r="B62" s="5"/>
      <c r="C62" s="321" t="s">
        <v>585</v>
      </c>
      <c r="D62" s="21">
        <v>73204</v>
      </c>
      <c r="E62" s="13">
        <v>44213</v>
      </c>
      <c r="F62" s="5" t="s">
        <v>48</v>
      </c>
      <c r="G62" s="190">
        <v>2012</v>
      </c>
      <c r="H62" s="125" t="s">
        <v>29</v>
      </c>
      <c r="I62" s="125" t="s">
        <v>341</v>
      </c>
      <c r="J62" s="58">
        <v>8748.0499999999993</v>
      </c>
      <c r="K62" s="58"/>
      <c r="L62" s="58">
        <v>1852.48</v>
      </c>
      <c r="M62" s="423">
        <v>921</v>
      </c>
      <c r="N62" s="58">
        <f t="shared" si="7"/>
        <v>9679.5299999999988</v>
      </c>
      <c r="O62" s="58">
        <f t="shared" si="6"/>
        <v>10179.529999999999</v>
      </c>
      <c r="P62" s="63">
        <v>10600.53</v>
      </c>
      <c r="Q62" s="181" t="s">
        <v>342</v>
      </c>
      <c r="R62" s="59"/>
      <c r="S62" s="299"/>
      <c r="T62" s="12"/>
      <c r="U62" s="12"/>
      <c r="V62" s="183"/>
    </row>
    <row r="63" spans="1:23" ht="15.75" customHeight="1" x14ac:dyDescent="0.3">
      <c r="A63" s="5" t="s">
        <v>547</v>
      </c>
      <c r="B63" s="5"/>
      <c r="C63" s="321" t="s">
        <v>613</v>
      </c>
      <c r="D63" s="21">
        <v>86694</v>
      </c>
      <c r="E63" s="13">
        <v>44479</v>
      </c>
      <c r="F63" s="5" t="s">
        <v>75</v>
      </c>
      <c r="G63" s="190">
        <v>2014</v>
      </c>
      <c r="H63" s="125" t="s">
        <v>96</v>
      </c>
      <c r="I63" s="125" t="s">
        <v>383</v>
      </c>
      <c r="J63" s="58">
        <v>11951.8</v>
      </c>
      <c r="K63" s="58"/>
      <c r="L63" s="58">
        <v>828</v>
      </c>
      <c r="M63" s="423">
        <v>921</v>
      </c>
      <c r="N63" s="58">
        <f t="shared" si="7"/>
        <v>11858.8</v>
      </c>
      <c r="O63" s="58">
        <f t="shared" si="6"/>
        <v>12358.8</v>
      </c>
      <c r="P63" s="63">
        <v>12779.8</v>
      </c>
      <c r="Q63" s="181" t="s">
        <v>342</v>
      </c>
      <c r="R63" s="59"/>
      <c r="S63" s="299"/>
      <c r="T63" s="12"/>
      <c r="U63" s="12"/>
      <c r="V63" s="154"/>
    </row>
    <row r="64" spans="1:23" ht="15.75" customHeight="1" x14ac:dyDescent="0.3">
      <c r="A64" s="5" t="s">
        <v>547</v>
      </c>
      <c r="B64" s="5"/>
      <c r="C64" s="321" t="s">
        <v>700</v>
      </c>
      <c r="D64" s="21">
        <v>99909</v>
      </c>
      <c r="E64" s="13">
        <v>44633</v>
      </c>
      <c r="F64" s="5" t="s">
        <v>211</v>
      </c>
      <c r="G64" s="190">
        <v>2009</v>
      </c>
      <c r="H64" s="125" t="s">
        <v>29</v>
      </c>
      <c r="I64" s="125" t="s">
        <v>646</v>
      </c>
      <c r="J64" s="66">
        <v>12455</v>
      </c>
      <c r="K64" s="66"/>
      <c r="L64" s="66">
        <v>770.62</v>
      </c>
      <c r="M64" s="423">
        <v>921</v>
      </c>
      <c r="N64" s="58">
        <f t="shared" si="7"/>
        <v>12304.62</v>
      </c>
      <c r="O64" s="58">
        <f t="shared" si="6"/>
        <v>12804.62</v>
      </c>
      <c r="P64" s="63">
        <v>12804.62</v>
      </c>
      <c r="Q64" s="277" t="s">
        <v>342</v>
      </c>
      <c r="R64" s="60"/>
      <c r="S64" s="121"/>
      <c r="T64" s="12"/>
      <c r="U64" s="12"/>
      <c r="V64" s="154"/>
    </row>
    <row r="65" spans="1:23" ht="15.75" customHeight="1" x14ac:dyDescent="0.3">
      <c r="A65" s="5" t="s">
        <v>547</v>
      </c>
      <c r="B65" s="5"/>
      <c r="C65" s="321" t="s">
        <v>701</v>
      </c>
      <c r="D65" s="21">
        <v>84489</v>
      </c>
      <c r="E65" s="13">
        <v>44633</v>
      </c>
      <c r="F65" s="5" t="s">
        <v>211</v>
      </c>
      <c r="G65" s="190">
        <v>2009</v>
      </c>
      <c r="H65" s="125" t="s">
        <v>29</v>
      </c>
      <c r="I65" s="125" t="s">
        <v>702</v>
      </c>
      <c r="J65" s="66">
        <v>8325</v>
      </c>
      <c r="K65" s="66"/>
      <c r="L65" s="66">
        <v>1017.75</v>
      </c>
      <c r="M65" s="423">
        <v>921</v>
      </c>
      <c r="N65" s="58">
        <f t="shared" si="7"/>
        <v>8421.75</v>
      </c>
      <c r="O65" s="58">
        <f t="shared" si="6"/>
        <v>8921.75</v>
      </c>
      <c r="P65" s="63">
        <v>8921.75</v>
      </c>
      <c r="Q65" s="277" t="s">
        <v>342</v>
      </c>
      <c r="R65" s="60"/>
      <c r="S65" s="121"/>
      <c r="T65" s="12"/>
      <c r="U65" s="12"/>
      <c r="V65" s="154"/>
    </row>
    <row r="66" spans="1:23" ht="15.75" customHeight="1" x14ac:dyDescent="0.3">
      <c r="A66" s="5" t="s">
        <v>547</v>
      </c>
      <c r="B66" s="5"/>
      <c r="C66" s="321" t="s">
        <v>707</v>
      </c>
      <c r="D66" s="21">
        <v>57976</v>
      </c>
      <c r="E66" s="13">
        <v>44633</v>
      </c>
      <c r="F66" s="5" t="s">
        <v>211</v>
      </c>
      <c r="G66" s="190">
        <v>2010</v>
      </c>
      <c r="H66" s="125" t="s">
        <v>16</v>
      </c>
      <c r="I66" s="125" t="s">
        <v>306</v>
      </c>
      <c r="J66" s="66">
        <v>10275</v>
      </c>
      <c r="K66" s="66"/>
      <c r="L66" s="66">
        <v>1455.94</v>
      </c>
      <c r="M66" s="423">
        <v>921</v>
      </c>
      <c r="N66" s="58">
        <f t="shared" si="7"/>
        <v>10809.94</v>
      </c>
      <c r="O66" s="58">
        <f t="shared" si="6"/>
        <v>11309.94</v>
      </c>
      <c r="P66" s="63">
        <v>11309.94</v>
      </c>
      <c r="Q66" s="277" t="s">
        <v>342</v>
      </c>
      <c r="R66" s="60"/>
      <c r="S66" s="121"/>
      <c r="T66" s="12"/>
      <c r="U66" s="12"/>
      <c r="V66" s="183"/>
    </row>
    <row r="67" spans="1:23" ht="15.75" customHeight="1" x14ac:dyDescent="0.3">
      <c r="A67" s="5" t="s">
        <v>547</v>
      </c>
      <c r="B67" s="5"/>
      <c r="C67" s="321" t="s">
        <v>708</v>
      </c>
      <c r="D67" s="21">
        <v>92207</v>
      </c>
      <c r="E67" s="13">
        <v>44633</v>
      </c>
      <c r="F67" s="5" t="s">
        <v>228</v>
      </c>
      <c r="G67" s="190">
        <v>2013</v>
      </c>
      <c r="H67" s="125" t="s">
        <v>16</v>
      </c>
      <c r="I67" s="125" t="s">
        <v>624</v>
      </c>
      <c r="J67" s="66">
        <v>11135</v>
      </c>
      <c r="K67" s="66"/>
      <c r="L67" s="66">
        <v>1033.3800000000001</v>
      </c>
      <c r="M67" s="423">
        <v>921</v>
      </c>
      <c r="N67" s="58">
        <f t="shared" si="7"/>
        <v>11247.380000000001</v>
      </c>
      <c r="O67" s="58">
        <f t="shared" si="6"/>
        <v>11747.380000000001</v>
      </c>
      <c r="P67" s="63">
        <v>11747.38</v>
      </c>
      <c r="Q67" s="277" t="s">
        <v>342</v>
      </c>
      <c r="R67" s="60"/>
      <c r="S67" s="65"/>
      <c r="T67" s="12"/>
      <c r="U67" s="12"/>
      <c r="V67" s="183"/>
    </row>
    <row r="68" spans="1:23" ht="15.75" customHeight="1" x14ac:dyDescent="0.3">
      <c r="A68" s="5" t="s">
        <v>547</v>
      </c>
      <c r="B68" s="5"/>
      <c r="C68" s="321" t="s">
        <v>718</v>
      </c>
      <c r="D68" s="21">
        <v>109149</v>
      </c>
      <c r="E68" s="13">
        <v>44633</v>
      </c>
      <c r="F68" s="5" t="s">
        <v>211</v>
      </c>
      <c r="G68" s="190">
        <v>2013</v>
      </c>
      <c r="H68" s="125" t="s">
        <v>96</v>
      </c>
      <c r="I68" s="125" t="s">
        <v>383</v>
      </c>
      <c r="J68" s="66">
        <v>11589</v>
      </c>
      <c r="K68" s="66"/>
      <c r="L68" s="66">
        <v>1310.26</v>
      </c>
      <c r="M68" s="423">
        <v>921</v>
      </c>
      <c r="N68" s="58">
        <f t="shared" si="7"/>
        <v>11978.26</v>
      </c>
      <c r="O68" s="58">
        <f t="shared" si="6"/>
        <v>12478.26</v>
      </c>
      <c r="P68" s="63">
        <v>12321.57</v>
      </c>
      <c r="Q68" s="277" t="s">
        <v>342</v>
      </c>
      <c r="R68" s="60"/>
      <c r="S68" s="65"/>
      <c r="T68" s="12"/>
      <c r="U68" s="12"/>
      <c r="V68" s="64"/>
      <c r="W68" s="64"/>
    </row>
    <row r="69" spans="1:23" ht="15.75" customHeight="1" x14ac:dyDescent="0.3">
      <c r="A69" s="5" t="s">
        <v>547</v>
      </c>
      <c r="B69" s="5"/>
      <c r="C69" s="321" t="s">
        <v>719</v>
      </c>
      <c r="D69" s="21">
        <v>92201</v>
      </c>
      <c r="E69" s="13">
        <v>44633</v>
      </c>
      <c r="F69" s="5" t="s">
        <v>211</v>
      </c>
      <c r="G69" s="190">
        <v>2014</v>
      </c>
      <c r="H69" s="125" t="s">
        <v>49</v>
      </c>
      <c r="I69" s="125" t="s">
        <v>445</v>
      </c>
      <c r="J69" s="66">
        <v>9207</v>
      </c>
      <c r="K69" s="66"/>
      <c r="L69" s="66">
        <v>684.25</v>
      </c>
      <c r="M69" s="423">
        <v>921</v>
      </c>
      <c r="N69" s="58">
        <f t="shared" si="7"/>
        <v>8970.25</v>
      </c>
      <c r="O69" s="58">
        <f t="shared" si="6"/>
        <v>9470.25</v>
      </c>
      <c r="P69" s="63">
        <v>9465.25</v>
      </c>
      <c r="Q69" s="277" t="s">
        <v>342</v>
      </c>
      <c r="R69" s="60"/>
      <c r="S69" s="65"/>
      <c r="T69" s="12"/>
      <c r="U69" s="12"/>
    </row>
    <row r="70" spans="1:23" ht="15.75" customHeight="1" x14ac:dyDescent="0.3">
      <c r="A70" s="5" t="s">
        <v>547</v>
      </c>
      <c r="B70" s="5"/>
      <c r="C70" s="321" t="s">
        <v>727</v>
      </c>
      <c r="D70" s="21">
        <v>96298</v>
      </c>
      <c r="E70" s="13">
        <v>44633</v>
      </c>
      <c r="F70" s="5" t="s">
        <v>211</v>
      </c>
      <c r="G70" s="190">
        <v>2009</v>
      </c>
      <c r="H70" s="125" t="s">
        <v>16</v>
      </c>
      <c r="I70" s="125" t="s">
        <v>234</v>
      </c>
      <c r="J70" s="66">
        <v>10137</v>
      </c>
      <c r="K70" s="66"/>
      <c r="L70" s="66">
        <v>1256.49</v>
      </c>
      <c r="M70" s="423">
        <v>921</v>
      </c>
      <c r="N70" s="58">
        <f t="shared" si="7"/>
        <v>10472.49</v>
      </c>
      <c r="O70" s="58">
        <f t="shared" si="6"/>
        <v>10972.49</v>
      </c>
      <c r="P70" s="63">
        <v>10972.49</v>
      </c>
      <c r="Q70" s="277" t="s">
        <v>342</v>
      </c>
      <c r="R70" s="299"/>
      <c r="S70" s="121"/>
      <c r="T70" s="12"/>
      <c r="U70" s="12"/>
    </row>
    <row r="71" spans="1:23" ht="15.75" customHeight="1" x14ac:dyDescent="0.3">
      <c r="A71" s="5" t="s">
        <v>547</v>
      </c>
      <c r="B71" s="5"/>
      <c r="C71" s="321" t="s">
        <v>735</v>
      </c>
      <c r="D71" s="21">
        <v>80536</v>
      </c>
      <c r="E71" s="13">
        <v>44633</v>
      </c>
      <c r="F71" s="5" t="s">
        <v>211</v>
      </c>
      <c r="G71" s="190">
        <v>2011</v>
      </c>
      <c r="H71" s="125" t="s">
        <v>21</v>
      </c>
      <c r="I71" s="125" t="s">
        <v>127</v>
      </c>
      <c r="J71" s="68">
        <v>9127</v>
      </c>
      <c r="K71" s="68"/>
      <c r="L71" s="68">
        <v>1461.65</v>
      </c>
      <c r="M71" s="423">
        <v>1151</v>
      </c>
      <c r="N71" s="58">
        <f t="shared" si="7"/>
        <v>9437.65</v>
      </c>
      <c r="O71" s="58">
        <f t="shared" si="6"/>
        <v>9937.65</v>
      </c>
      <c r="P71" s="69">
        <v>9667.65</v>
      </c>
      <c r="Q71" s="215" t="s">
        <v>342</v>
      </c>
      <c r="R71" s="121" t="s">
        <v>736</v>
      </c>
      <c r="T71" s="12"/>
      <c r="U71" s="12"/>
    </row>
    <row r="72" spans="1:23" ht="15.75" customHeight="1" x14ac:dyDescent="0.3">
      <c r="A72" s="5" t="s">
        <v>547</v>
      </c>
      <c r="B72" s="5"/>
      <c r="C72" s="321" t="s">
        <v>744</v>
      </c>
      <c r="D72" s="21">
        <v>98394</v>
      </c>
      <c r="E72" s="13">
        <v>44633</v>
      </c>
      <c r="F72" s="5" t="s">
        <v>211</v>
      </c>
      <c r="G72" s="190">
        <v>2008</v>
      </c>
      <c r="H72" s="125" t="s">
        <v>450</v>
      </c>
      <c r="I72" s="125" t="s">
        <v>451</v>
      </c>
      <c r="J72" s="68">
        <v>8234</v>
      </c>
      <c r="K72" s="68"/>
      <c r="L72" s="68">
        <v>818.97</v>
      </c>
      <c r="M72" s="423">
        <v>921</v>
      </c>
      <c r="N72" s="58">
        <f t="shared" si="7"/>
        <v>8131.9699999999993</v>
      </c>
      <c r="O72" s="58">
        <f t="shared" si="6"/>
        <v>8631.9699999999993</v>
      </c>
      <c r="P72" s="69">
        <v>8631.9699999999993</v>
      </c>
      <c r="Q72" s="215" t="s">
        <v>342</v>
      </c>
      <c r="R72" s="121"/>
      <c r="T72" s="12"/>
      <c r="U72" s="12"/>
    </row>
    <row r="73" spans="1:23" ht="15.75" customHeight="1" x14ac:dyDescent="0.3">
      <c r="A73" s="5" t="s">
        <v>547</v>
      </c>
      <c r="B73" s="5"/>
      <c r="C73" s="321" t="s">
        <v>548</v>
      </c>
      <c r="D73" s="21">
        <v>111198</v>
      </c>
      <c r="E73" s="13">
        <v>44141</v>
      </c>
      <c r="F73" s="5" t="s">
        <v>549</v>
      </c>
      <c r="G73" s="190">
        <v>2013</v>
      </c>
      <c r="H73" s="125" t="s">
        <v>29</v>
      </c>
      <c r="I73" s="125" t="s">
        <v>550</v>
      </c>
      <c r="J73" s="63">
        <v>18541.45</v>
      </c>
      <c r="K73" s="63"/>
      <c r="L73" s="63">
        <v>1166.1500000000001</v>
      </c>
      <c r="M73" s="423">
        <v>921</v>
      </c>
      <c r="N73" s="58">
        <f t="shared" ref="N73:N81" si="8">SUM(J73+L73-M73)</f>
        <v>18786.600000000002</v>
      </c>
      <c r="O73" s="58">
        <f t="shared" si="6"/>
        <v>19286.600000000002</v>
      </c>
      <c r="P73" s="69">
        <v>19000</v>
      </c>
      <c r="Q73" s="293" t="s">
        <v>336</v>
      </c>
      <c r="R73" s="299"/>
      <c r="T73" s="12"/>
      <c r="U73" s="12"/>
    </row>
    <row r="74" spans="1:23" ht="15.75" customHeight="1" x14ac:dyDescent="0.3">
      <c r="A74" s="5" t="s">
        <v>547</v>
      </c>
      <c r="B74" s="5"/>
      <c r="C74" s="321" t="s">
        <v>552</v>
      </c>
      <c r="D74" s="21">
        <v>82231</v>
      </c>
      <c r="E74" s="13">
        <v>44141</v>
      </c>
      <c r="F74" s="5" t="s">
        <v>24</v>
      </c>
      <c r="G74" s="190">
        <v>2012</v>
      </c>
      <c r="H74" s="125" t="s">
        <v>212</v>
      </c>
      <c r="I74" s="125" t="s">
        <v>247</v>
      </c>
      <c r="J74" s="63">
        <v>7295.6</v>
      </c>
      <c r="K74" s="63"/>
      <c r="L74" s="63">
        <v>1271.48</v>
      </c>
      <c r="M74" s="423">
        <v>1151</v>
      </c>
      <c r="N74" s="58">
        <f t="shared" si="8"/>
        <v>7416.08</v>
      </c>
      <c r="O74" s="58">
        <f t="shared" si="6"/>
        <v>7916.08</v>
      </c>
      <c r="P74" s="69">
        <v>9000</v>
      </c>
      <c r="Q74" s="293" t="s">
        <v>336</v>
      </c>
      <c r="R74" s="299"/>
      <c r="T74" s="12"/>
      <c r="U74" s="12"/>
    </row>
    <row r="75" spans="1:23" ht="15.75" customHeight="1" x14ac:dyDescent="0.3">
      <c r="A75" s="5" t="s">
        <v>547</v>
      </c>
      <c r="B75" s="5"/>
      <c r="C75" s="321" t="s">
        <v>556</v>
      </c>
      <c r="D75" s="21">
        <v>126282</v>
      </c>
      <c r="E75" s="13">
        <v>44153</v>
      </c>
      <c r="F75" s="5" t="s">
        <v>40</v>
      </c>
      <c r="G75" s="190">
        <v>2011</v>
      </c>
      <c r="H75" s="125" t="s">
        <v>29</v>
      </c>
      <c r="I75" s="125" t="s">
        <v>557</v>
      </c>
      <c r="J75" s="63">
        <v>8205.25</v>
      </c>
      <c r="K75" s="63"/>
      <c r="L75" s="63">
        <v>893.21</v>
      </c>
      <c r="M75" s="423">
        <v>921</v>
      </c>
      <c r="N75" s="58">
        <f t="shared" si="8"/>
        <v>8177.4599999999991</v>
      </c>
      <c r="O75" s="58">
        <f t="shared" si="6"/>
        <v>8677.4599999999991</v>
      </c>
      <c r="P75" s="69">
        <v>9000</v>
      </c>
      <c r="Q75" s="293" t="s">
        <v>336</v>
      </c>
      <c r="R75" s="299"/>
      <c r="T75" s="12"/>
      <c r="U75" s="12"/>
    </row>
    <row r="76" spans="1:23" ht="15.75" customHeight="1" x14ac:dyDescent="0.3">
      <c r="A76" s="5" t="s">
        <v>547</v>
      </c>
      <c r="B76" s="5"/>
      <c r="C76" s="321" t="s">
        <v>558</v>
      </c>
      <c r="D76" s="21">
        <v>74415</v>
      </c>
      <c r="E76" s="13">
        <v>44168</v>
      </c>
      <c r="F76" s="5" t="s">
        <v>559</v>
      </c>
      <c r="G76" s="190">
        <v>2013</v>
      </c>
      <c r="H76" s="125" t="s">
        <v>77</v>
      </c>
      <c r="I76" s="125" t="s">
        <v>78</v>
      </c>
      <c r="J76" s="63">
        <v>9710.6</v>
      </c>
      <c r="K76" s="63"/>
      <c r="L76" s="63">
        <v>825.25</v>
      </c>
      <c r="M76" s="423">
        <v>921</v>
      </c>
      <c r="N76" s="58">
        <f t="shared" si="8"/>
        <v>9614.85</v>
      </c>
      <c r="O76" s="58">
        <f t="shared" si="6"/>
        <v>10114.85</v>
      </c>
      <c r="P76" s="69">
        <v>10000</v>
      </c>
      <c r="Q76" s="293" t="s">
        <v>336</v>
      </c>
      <c r="R76" s="299"/>
      <c r="T76" s="12"/>
      <c r="U76" s="12"/>
    </row>
    <row r="77" spans="1:23" ht="15.75" customHeight="1" x14ac:dyDescent="0.3">
      <c r="A77" s="5" t="s">
        <v>547</v>
      </c>
      <c r="B77" s="5"/>
      <c r="C77" s="321" t="s">
        <v>568</v>
      </c>
      <c r="D77" s="21">
        <v>77773</v>
      </c>
      <c r="E77" s="13">
        <v>44201</v>
      </c>
      <c r="F77" s="5" t="s">
        <v>36</v>
      </c>
      <c r="G77" s="190">
        <v>2006</v>
      </c>
      <c r="H77" s="125" t="s">
        <v>49</v>
      </c>
      <c r="I77" s="125" t="s">
        <v>52</v>
      </c>
      <c r="J77" s="63">
        <v>9279.35</v>
      </c>
      <c r="K77" s="63"/>
      <c r="L77" s="63">
        <v>2013.93</v>
      </c>
      <c r="M77" s="423">
        <v>921</v>
      </c>
      <c r="N77" s="58">
        <f t="shared" si="8"/>
        <v>10372.280000000001</v>
      </c>
      <c r="O77" s="58">
        <f t="shared" si="6"/>
        <v>10872.28</v>
      </c>
      <c r="P77" s="69">
        <v>11500</v>
      </c>
      <c r="Q77" s="293" t="s">
        <v>336</v>
      </c>
      <c r="R77" s="299"/>
      <c r="T77" s="12"/>
      <c r="U77" s="12"/>
    </row>
    <row r="78" spans="1:23" ht="15.75" customHeight="1" x14ac:dyDescent="0.3">
      <c r="A78" s="5" t="s">
        <v>547</v>
      </c>
      <c r="B78" s="5"/>
      <c r="C78" s="321" t="s">
        <v>569</v>
      </c>
      <c r="D78" s="21">
        <v>123638</v>
      </c>
      <c r="E78" s="13">
        <v>44201</v>
      </c>
      <c r="F78" s="5" t="s">
        <v>570</v>
      </c>
      <c r="G78" s="190">
        <v>2013</v>
      </c>
      <c r="H78" s="125" t="s">
        <v>77</v>
      </c>
      <c r="I78" s="125" t="s">
        <v>571</v>
      </c>
      <c r="J78" s="63">
        <v>12302.7</v>
      </c>
      <c r="K78" s="63"/>
      <c r="L78" s="63">
        <v>1161.04</v>
      </c>
      <c r="M78" s="423">
        <v>921</v>
      </c>
      <c r="N78" s="58">
        <f t="shared" si="8"/>
        <v>12542.740000000002</v>
      </c>
      <c r="O78" s="58">
        <f t="shared" si="6"/>
        <v>13042.740000000002</v>
      </c>
      <c r="P78" s="69">
        <v>13000</v>
      </c>
      <c r="Q78" s="293" t="s">
        <v>336</v>
      </c>
      <c r="R78" s="299"/>
      <c r="T78" s="12"/>
      <c r="U78" s="12"/>
    </row>
    <row r="79" spans="1:23" ht="15.75" customHeight="1" x14ac:dyDescent="0.3">
      <c r="A79" s="130" t="s">
        <v>547</v>
      </c>
      <c r="B79" s="130"/>
      <c r="C79" s="321" t="s">
        <v>574</v>
      </c>
      <c r="D79" s="138">
        <v>151887</v>
      </c>
      <c r="E79" s="134">
        <v>44201</v>
      </c>
      <c r="F79" s="130" t="s">
        <v>570</v>
      </c>
      <c r="G79" s="190">
        <v>2012</v>
      </c>
      <c r="H79" s="125" t="s">
        <v>96</v>
      </c>
      <c r="I79" s="125" t="s">
        <v>241</v>
      </c>
      <c r="J79" s="283">
        <v>5796</v>
      </c>
      <c r="K79" s="283"/>
      <c r="L79" s="283">
        <v>2344.9899999999998</v>
      </c>
      <c r="M79" s="425">
        <v>921</v>
      </c>
      <c r="N79" s="58">
        <f t="shared" si="8"/>
        <v>7219.99</v>
      </c>
      <c r="O79" s="283">
        <f t="shared" si="6"/>
        <v>7719.99</v>
      </c>
      <c r="P79" s="283">
        <v>7000</v>
      </c>
      <c r="Q79" s="122" t="s">
        <v>336</v>
      </c>
      <c r="R79" s="299"/>
      <c r="T79" s="12"/>
      <c r="U79" s="12"/>
    </row>
    <row r="80" spans="1:23" ht="15.75" customHeight="1" x14ac:dyDescent="0.3">
      <c r="A80" s="5" t="s">
        <v>547</v>
      </c>
      <c r="B80" s="5"/>
      <c r="C80" s="321" t="s">
        <v>575</v>
      </c>
      <c r="D80" s="21">
        <v>105679</v>
      </c>
      <c r="E80" s="13">
        <v>44201</v>
      </c>
      <c r="F80" s="5" t="s">
        <v>40</v>
      </c>
      <c r="G80" s="190">
        <v>2010</v>
      </c>
      <c r="H80" s="125" t="s">
        <v>96</v>
      </c>
      <c r="I80" s="125" t="s">
        <v>97</v>
      </c>
      <c r="J80" s="63">
        <v>9319.6</v>
      </c>
      <c r="K80" s="63"/>
      <c r="L80" s="63">
        <v>1482.45</v>
      </c>
      <c r="M80" s="423">
        <v>921</v>
      </c>
      <c r="N80" s="58">
        <f t="shared" si="8"/>
        <v>9881.0500000000011</v>
      </c>
      <c r="O80" s="58">
        <f t="shared" si="6"/>
        <v>10381.050000000001</v>
      </c>
      <c r="P80" s="69">
        <v>11000</v>
      </c>
      <c r="Q80" s="293" t="s">
        <v>336</v>
      </c>
      <c r="R80" s="299"/>
      <c r="T80" s="12"/>
      <c r="U80" s="12"/>
    </row>
    <row r="81" spans="1:23" ht="15.75" customHeight="1" x14ac:dyDescent="0.3">
      <c r="A81" s="5" t="s">
        <v>547</v>
      </c>
      <c r="B81" s="5"/>
      <c r="C81" s="321" t="s">
        <v>576</v>
      </c>
      <c r="D81" s="21">
        <v>85746</v>
      </c>
      <c r="E81" s="13">
        <v>44201</v>
      </c>
      <c r="F81" s="5" t="s">
        <v>36</v>
      </c>
      <c r="G81" s="190">
        <v>2013</v>
      </c>
      <c r="H81" s="125" t="s">
        <v>212</v>
      </c>
      <c r="I81" s="125" t="s">
        <v>247</v>
      </c>
      <c r="J81" s="63">
        <v>14163.4</v>
      </c>
      <c r="K81" s="63"/>
      <c r="L81" s="63">
        <v>1950.6</v>
      </c>
      <c r="M81" s="423">
        <v>1151</v>
      </c>
      <c r="N81" s="58">
        <f t="shared" si="8"/>
        <v>14963</v>
      </c>
      <c r="O81" s="58">
        <f t="shared" si="6"/>
        <v>15463</v>
      </c>
      <c r="P81" s="69">
        <v>18000</v>
      </c>
      <c r="Q81" s="293" t="s">
        <v>336</v>
      </c>
      <c r="R81" s="299"/>
      <c r="T81" s="12"/>
      <c r="U81" s="12"/>
    </row>
    <row r="82" spans="1:23" ht="15.75" customHeight="1" x14ac:dyDescent="0.3">
      <c r="A82" s="5" t="s">
        <v>547</v>
      </c>
      <c r="B82" s="5"/>
      <c r="C82" s="321" t="s">
        <v>579</v>
      </c>
      <c r="D82" s="21">
        <v>124200</v>
      </c>
      <c r="E82" s="13">
        <v>44213</v>
      </c>
      <c r="F82" s="5" t="s">
        <v>48</v>
      </c>
      <c r="G82" s="190">
        <v>2010</v>
      </c>
      <c r="H82" s="125" t="s">
        <v>77</v>
      </c>
      <c r="I82" s="125" t="s">
        <v>432</v>
      </c>
      <c r="J82" s="63">
        <v>5515.4</v>
      </c>
      <c r="K82" s="63"/>
      <c r="L82" s="63">
        <v>889.24</v>
      </c>
      <c r="M82" s="423">
        <v>921</v>
      </c>
      <c r="N82" s="58">
        <f t="shared" ref="N82:N106" si="9">SUM(J82+K82+L82-M82)</f>
        <v>5483.6399999999994</v>
      </c>
      <c r="O82" s="58">
        <f t="shared" si="6"/>
        <v>5983.6399999999994</v>
      </c>
      <c r="P82" s="69">
        <v>6000</v>
      </c>
      <c r="Q82" s="293" t="s">
        <v>336</v>
      </c>
      <c r="R82" s="299"/>
      <c r="T82" s="12"/>
      <c r="U82" s="12"/>
    </row>
    <row r="83" spans="1:23" ht="15.75" customHeight="1" x14ac:dyDescent="0.3">
      <c r="A83" s="5" t="s">
        <v>547</v>
      </c>
      <c r="B83" s="5"/>
      <c r="C83" s="321" t="s">
        <v>582</v>
      </c>
      <c r="D83" s="21">
        <v>27860</v>
      </c>
      <c r="E83" s="13">
        <v>44213</v>
      </c>
      <c r="F83" s="5" t="s">
        <v>51</v>
      </c>
      <c r="G83" s="190">
        <v>2013</v>
      </c>
      <c r="H83" s="125" t="s">
        <v>96</v>
      </c>
      <c r="I83" s="125" t="s">
        <v>583</v>
      </c>
      <c r="J83" s="63">
        <v>8598.5499999999993</v>
      </c>
      <c r="K83" s="63"/>
      <c r="L83" s="63">
        <v>631.04</v>
      </c>
      <c r="M83" s="423">
        <v>921</v>
      </c>
      <c r="N83" s="58">
        <f t="shared" si="9"/>
        <v>8308.59</v>
      </c>
      <c r="O83" s="58">
        <f t="shared" si="6"/>
        <v>8808.59</v>
      </c>
      <c r="P83" s="69">
        <v>11000</v>
      </c>
      <c r="Q83" s="293" t="s">
        <v>336</v>
      </c>
      <c r="R83" s="299"/>
      <c r="T83" s="12"/>
      <c r="U83" s="12"/>
    </row>
    <row r="84" spans="1:23" ht="15.75" customHeight="1" x14ac:dyDescent="0.3">
      <c r="A84" s="5" t="s">
        <v>547</v>
      </c>
      <c r="B84" s="5"/>
      <c r="C84" s="321" t="s">
        <v>584</v>
      </c>
      <c r="D84" s="21">
        <v>104295</v>
      </c>
      <c r="E84" s="13">
        <v>44213</v>
      </c>
      <c r="F84" s="5" t="s">
        <v>43</v>
      </c>
      <c r="G84" s="190">
        <v>2007</v>
      </c>
      <c r="H84" s="125" t="s">
        <v>96</v>
      </c>
      <c r="I84" s="125" t="s">
        <v>97</v>
      </c>
      <c r="J84" s="63">
        <v>8692.85</v>
      </c>
      <c r="K84" s="63"/>
      <c r="L84" s="63">
        <v>1760.26</v>
      </c>
      <c r="M84" s="423">
        <v>921</v>
      </c>
      <c r="N84" s="58">
        <f t="shared" si="9"/>
        <v>9532.11</v>
      </c>
      <c r="O84" s="58">
        <f t="shared" si="6"/>
        <v>10032.11</v>
      </c>
      <c r="P84" s="69">
        <v>10500</v>
      </c>
      <c r="Q84" s="293" t="s">
        <v>336</v>
      </c>
      <c r="R84" s="299"/>
      <c r="T84" s="12"/>
      <c r="U84" s="12"/>
    </row>
    <row r="85" spans="1:23" ht="15.75" customHeight="1" x14ac:dyDescent="0.3">
      <c r="A85" s="5" t="s">
        <v>547</v>
      </c>
      <c r="B85" s="5"/>
      <c r="C85" s="321" t="s">
        <v>592</v>
      </c>
      <c r="D85" s="21">
        <v>11422</v>
      </c>
      <c r="E85" s="13">
        <v>44248</v>
      </c>
      <c r="F85" s="5" t="s">
        <v>470</v>
      </c>
      <c r="G85" s="190">
        <v>2013</v>
      </c>
      <c r="H85" s="125" t="s">
        <v>49</v>
      </c>
      <c r="I85" s="125" t="s">
        <v>445</v>
      </c>
      <c r="J85" s="63">
        <v>9431.15</v>
      </c>
      <c r="K85" s="63"/>
      <c r="L85" s="63">
        <v>1305.18</v>
      </c>
      <c r="M85" s="423">
        <v>921</v>
      </c>
      <c r="N85" s="58">
        <f t="shared" si="9"/>
        <v>9815.33</v>
      </c>
      <c r="O85" s="58">
        <f t="shared" si="6"/>
        <v>10315.33</v>
      </c>
      <c r="P85" s="69">
        <v>10700</v>
      </c>
      <c r="Q85" s="293" t="s">
        <v>336</v>
      </c>
      <c r="R85" s="299"/>
      <c r="T85" s="12"/>
      <c r="U85" s="12"/>
    </row>
    <row r="86" spans="1:23" ht="15.75" customHeight="1" x14ac:dyDescent="0.3">
      <c r="A86" s="5" t="s">
        <v>547</v>
      </c>
      <c r="B86" s="5"/>
      <c r="C86" s="321" t="s">
        <v>593</v>
      </c>
      <c r="D86" s="21">
        <v>86641</v>
      </c>
      <c r="E86" s="13">
        <v>44248</v>
      </c>
      <c r="F86" s="5" t="s">
        <v>470</v>
      </c>
      <c r="G86" s="190">
        <v>2011</v>
      </c>
      <c r="H86" s="125" t="s">
        <v>77</v>
      </c>
      <c r="I86" s="125" t="s">
        <v>455</v>
      </c>
      <c r="J86" s="63">
        <v>10578.85</v>
      </c>
      <c r="K86" s="63"/>
      <c r="L86" s="63">
        <v>2091.4699999999998</v>
      </c>
      <c r="M86" s="423">
        <v>921</v>
      </c>
      <c r="N86" s="58">
        <f t="shared" si="9"/>
        <v>11749.32</v>
      </c>
      <c r="O86" s="58">
        <f t="shared" si="6"/>
        <v>12249.32</v>
      </c>
      <c r="P86" s="69">
        <v>12500</v>
      </c>
      <c r="Q86" s="293" t="s">
        <v>336</v>
      </c>
      <c r="R86" s="299"/>
      <c r="T86" s="12"/>
      <c r="U86" s="12"/>
    </row>
    <row r="87" spans="1:23" ht="15.75" customHeight="1" x14ac:dyDescent="0.3">
      <c r="A87" s="5" t="s">
        <v>547</v>
      </c>
      <c r="B87" s="5"/>
      <c r="C87" s="321" t="s">
        <v>594</v>
      </c>
      <c r="D87" s="21">
        <v>79886</v>
      </c>
      <c r="E87" s="13">
        <v>44248</v>
      </c>
      <c r="F87" s="5" t="s">
        <v>470</v>
      </c>
      <c r="G87" s="190">
        <v>2007</v>
      </c>
      <c r="H87" s="125" t="s">
        <v>96</v>
      </c>
      <c r="I87" s="125" t="s">
        <v>97</v>
      </c>
      <c r="J87" s="63">
        <v>8662.9500000000007</v>
      </c>
      <c r="K87" s="63"/>
      <c r="L87" s="63">
        <v>2573.23</v>
      </c>
      <c r="M87" s="423">
        <v>921</v>
      </c>
      <c r="N87" s="58">
        <f t="shared" si="9"/>
        <v>10315.18</v>
      </c>
      <c r="O87" s="58">
        <f t="shared" ref="O87:O118" si="10">SUM(N87+500)</f>
        <v>10815.18</v>
      </c>
      <c r="P87" s="69">
        <v>11000</v>
      </c>
      <c r="Q87" s="293" t="s">
        <v>336</v>
      </c>
      <c r="R87" s="299"/>
      <c r="T87" s="12"/>
      <c r="U87" s="12"/>
    </row>
    <row r="88" spans="1:23" ht="15.75" customHeight="1" x14ac:dyDescent="0.3">
      <c r="A88" s="5" t="s">
        <v>547</v>
      </c>
      <c r="B88" s="5"/>
      <c r="C88" s="321" t="s">
        <v>595</v>
      </c>
      <c r="D88" s="21">
        <v>72647</v>
      </c>
      <c r="E88" s="13">
        <v>44248</v>
      </c>
      <c r="F88" s="5" t="s">
        <v>470</v>
      </c>
      <c r="G88" s="190">
        <v>2008</v>
      </c>
      <c r="H88" s="125" t="s">
        <v>96</v>
      </c>
      <c r="I88" s="125" t="s">
        <v>97</v>
      </c>
      <c r="J88" s="63">
        <v>8529.5499999999993</v>
      </c>
      <c r="K88" s="63"/>
      <c r="L88" s="63">
        <v>2154.6</v>
      </c>
      <c r="M88" s="423">
        <v>921</v>
      </c>
      <c r="N88" s="58">
        <f t="shared" si="9"/>
        <v>9763.15</v>
      </c>
      <c r="O88" s="58">
        <f t="shared" si="10"/>
        <v>10263.15</v>
      </c>
      <c r="P88" s="69">
        <v>10500</v>
      </c>
      <c r="Q88" s="293" t="s">
        <v>336</v>
      </c>
      <c r="R88" s="299"/>
      <c r="T88" s="12"/>
      <c r="U88" s="12"/>
      <c r="V88" s="12"/>
      <c r="W88" s="12"/>
    </row>
    <row r="89" spans="1:23" ht="15.75" customHeight="1" x14ac:dyDescent="0.3">
      <c r="A89" s="5" t="s">
        <v>547</v>
      </c>
      <c r="B89" s="5"/>
      <c r="C89" s="321" t="s">
        <v>596</v>
      </c>
      <c r="D89" s="21">
        <v>30838</v>
      </c>
      <c r="E89" s="13">
        <v>44248</v>
      </c>
      <c r="F89" s="5" t="s">
        <v>467</v>
      </c>
      <c r="G89" s="190">
        <v>2014</v>
      </c>
      <c r="H89" s="125" t="s">
        <v>29</v>
      </c>
      <c r="I89" s="125" t="s">
        <v>230</v>
      </c>
      <c r="J89" s="63">
        <v>7790.1</v>
      </c>
      <c r="K89" s="63"/>
      <c r="L89" s="63">
        <v>1364.86</v>
      </c>
      <c r="M89" s="423">
        <v>921</v>
      </c>
      <c r="N89" s="58">
        <f t="shared" si="9"/>
        <v>8233.9600000000009</v>
      </c>
      <c r="O89" s="58">
        <f t="shared" si="10"/>
        <v>8733.9600000000009</v>
      </c>
      <c r="P89" s="69">
        <v>9500</v>
      </c>
      <c r="Q89" s="293" t="s">
        <v>336</v>
      </c>
      <c r="R89" s="299"/>
      <c r="T89" s="12"/>
      <c r="U89" s="12"/>
    </row>
    <row r="90" spans="1:23" ht="15.75" customHeight="1" x14ac:dyDescent="0.3">
      <c r="A90" s="5" t="s">
        <v>547</v>
      </c>
      <c r="B90" s="5"/>
      <c r="C90" s="321" t="s">
        <v>597</v>
      </c>
      <c r="D90" s="21">
        <v>77428</v>
      </c>
      <c r="E90" s="13">
        <v>44248</v>
      </c>
      <c r="F90" s="5" t="s">
        <v>467</v>
      </c>
      <c r="G90" s="190">
        <v>2011</v>
      </c>
      <c r="H90" s="125" t="s">
        <v>212</v>
      </c>
      <c r="I90" s="125" t="s">
        <v>247</v>
      </c>
      <c r="J90" s="63">
        <v>12089.95</v>
      </c>
      <c r="K90" s="63"/>
      <c r="L90" s="63">
        <v>2376.16</v>
      </c>
      <c r="M90" s="423">
        <v>1151</v>
      </c>
      <c r="N90" s="58">
        <f t="shared" si="9"/>
        <v>13315.11</v>
      </c>
      <c r="O90" s="58">
        <f t="shared" si="10"/>
        <v>13815.11</v>
      </c>
      <c r="P90" s="69">
        <v>14500</v>
      </c>
      <c r="Q90" s="293" t="s">
        <v>336</v>
      </c>
      <c r="R90" s="299"/>
      <c r="T90" s="12"/>
      <c r="U90" s="12"/>
    </row>
    <row r="91" spans="1:23" ht="15.75" customHeight="1" x14ac:dyDescent="0.3">
      <c r="A91" s="5" t="s">
        <v>547</v>
      </c>
      <c r="B91" s="5"/>
      <c r="C91" s="321" t="s">
        <v>598</v>
      </c>
      <c r="D91" s="21">
        <v>76183</v>
      </c>
      <c r="E91" s="13">
        <v>44263</v>
      </c>
      <c r="F91" s="5" t="s">
        <v>416</v>
      </c>
      <c r="G91" s="190">
        <v>2015</v>
      </c>
      <c r="H91" s="125" t="s">
        <v>77</v>
      </c>
      <c r="I91" s="125" t="s">
        <v>158</v>
      </c>
      <c r="J91" s="63">
        <v>10003</v>
      </c>
      <c r="K91" s="63"/>
      <c r="L91" s="63">
        <v>2065.3200000000002</v>
      </c>
      <c r="M91" s="423">
        <v>921</v>
      </c>
      <c r="N91" s="58">
        <f t="shared" si="9"/>
        <v>11147.32</v>
      </c>
      <c r="O91" s="58">
        <f t="shared" si="10"/>
        <v>11647.32</v>
      </c>
      <c r="P91" s="69">
        <v>11000</v>
      </c>
      <c r="Q91" s="293" t="s">
        <v>336</v>
      </c>
      <c r="R91" s="299"/>
      <c r="T91" s="12"/>
      <c r="U91" s="12"/>
    </row>
    <row r="92" spans="1:23" ht="15.75" customHeight="1" x14ac:dyDescent="0.3">
      <c r="A92" s="5" t="s">
        <v>547</v>
      </c>
      <c r="B92" s="5"/>
      <c r="C92" s="321" t="s">
        <v>601</v>
      </c>
      <c r="D92" s="21">
        <v>61943</v>
      </c>
      <c r="E92" s="13">
        <v>44353</v>
      </c>
      <c r="F92" s="5" t="s">
        <v>602</v>
      </c>
      <c r="G92" s="190">
        <v>2009</v>
      </c>
      <c r="H92" s="125" t="s">
        <v>49</v>
      </c>
      <c r="I92" s="125" t="s">
        <v>366</v>
      </c>
      <c r="J92" s="63">
        <v>7325.5</v>
      </c>
      <c r="K92" s="63"/>
      <c r="L92" s="63">
        <v>687.85</v>
      </c>
      <c r="M92" s="423">
        <v>921</v>
      </c>
      <c r="N92" s="58">
        <f t="shared" si="9"/>
        <v>7092.35</v>
      </c>
      <c r="O92" s="58">
        <f t="shared" si="10"/>
        <v>7592.35</v>
      </c>
      <c r="P92" s="69">
        <v>8000</v>
      </c>
      <c r="Q92" s="293" t="s">
        <v>336</v>
      </c>
      <c r="R92" s="299"/>
      <c r="T92" s="12"/>
      <c r="U92" s="12"/>
    </row>
    <row r="93" spans="1:23" ht="15.75" customHeight="1" x14ac:dyDescent="0.3">
      <c r="A93" s="5" t="s">
        <v>547</v>
      </c>
      <c r="B93" s="5"/>
      <c r="C93" s="321" t="s">
        <v>611</v>
      </c>
      <c r="D93" s="21">
        <v>75929</v>
      </c>
      <c r="E93" s="13">
        <v>44460</v>
      </c>
      <c r="F93" s="5" t="s">
        <v>470</v>
      </c>
      <c r="G93" s="190">
        <v>2012</v>
      </c>
      <c r="H93" s="125" t="s">
        <v>29</v>
      </c>
      <c r="I93" s="125" t="s">
        <v>557</v>
      </c>
      <c r="J93" s="63">
        <v>10059.700000000001</v>
      </c>
      <c r="K93" s="63"/>
      <c r="L93" s="63">
        <v>982</v>
      </c>
      <c r="M93" s="423">
        <v>921</v>
      </c>
      <c r="N93" s="58">
        <f t="shared" si="9"/>
        <v>10120.700000000001</v>
      </c>
      <c r="O93" s="58">
        <f t="shared" si="10"/>
        <v>10620.7</v>
      </c>
      <c r="P93" s="69">
        <v>11100</v>
      </c>
      <c r="Q93" s="293" t="s">
        <v>336</v>
      </c>
      <c r="R93" s="299"/>
      <c r="T93" s="12"/>
      <c r="U93" s="12"/>
    </row>
    <row r="94" spans="1:23" ht="15.75" customHeight="1" x14ac:dyDescent="0.3">
      <c r="A94" s="5" t="s">
        <v>547</v>
      </c>
      <c r="B94" s="5"/>
      <c r="C94" s="321" t="s">
        <v>612</v>
      </c>
      <c r="D94" s="21">
        <v>116752</v>
      </c>
      <c r="E94" s="13">
        <v>44460</v>
      </c>
      <c r="F94" s="5" t="s">
        <v>467</v>
      </c>
      <c r="G94" s="190">
        <v>2009</v>
      </c>
      <c r="H94" s="125" t="s">
        <v>16</v>
      </c>
      <c r="I94" s="125" t="s">
        <v>160</v>
      </c>
      <c r="J94" s="63">
        <v>8169.1</v>
      </c>
      <c r="K94" s="63"/>
      <c r="L94" s="63">
        <v>1640.3</v>
      </c>
      <c r="M94" s="423">
        <v>921</v>
      </c>
      <c r="N94" s="58">
        <f t="shared" si="9"/>
        <v>8888.4</v>
      </c>
      <c r="O94" s="58">
        <f t="shared" si="10"/>
        <v>9388.4</v>
      </c>
      <c r="P94" s="69">
        <v>9900</v>
      </c>
      <c r="Q94" s="293" t="s">
        <v>336</v>
      </c>
      <c r="R94" s="299"/>
      <c r="T94" s="12"/>
      <c r="U94" s="12"/>
    </row>
    <row r="95" spans="1:23" ht="15.75" customHeight="1" x14ac:dyDescent="0.3">
      <c r="A95" s="5" t="s">
        <v>547</v>
      </c>
      <c r="B95" s="5"/>
      <c r="C95" s="321" t="s">
        <v>620</v>
      </c>
      <c r="D95" s="21">
        <v>48745</v>
      </c>
      <c r="E95" s="13">
        <v>44515</v>
      </c>
      <c r="F95" s="5" t="s">
        <v>79</v>
      </c>
      <c r="G95" s="190">
        <v>2008</v>
      </c>
      <c r="H95" s="125" t="s">
        <v>49</v>
      </c>
      <c r="I95" s="125" t="s">
        <v>366</v>
      </c>
      <c r="J95" s="63">
        <v>8903.5</v>
      </c>
      <c r="K95" s="63"/>
      <c r="L95" s="63">
        <v>1237.47</v>
      </c>
      <c r="M95" s="423">
        <v>921</v>
      </c>
      <c r="N95" s="58">
        <f t="shared" si="9"/>
        <v>9219.9699999999993</v>
      </c>
      <c r="O95" s="58">
        <f t="shared" si="10"/>
        <v>9719.9699999999993</v>
      </c>
      <c r="P95" s="69">
        <v>9990</v>
      </c>
      <c r="Q95" s="215" t="s">
        <v>336</v>
      </c>
      <c r="R95" s="299" t="s">
        <v>19</v>
      </c>
      <c r="T95" s="12"/>
      <c r="U95" s="12"/>
    </row>
    <row r="96" spans="1:23" ht="15.75" customHeight="1" x14ac:dyDescent="0.3">
      <c r="A96" s="5" t="s">
        <v>547</v>
      </c>
      <c r="B96" s="5"/>
      <c r="C96" s="321" t="s">
        <v>622</v>
      </c>
      <c r="D96" s="21">
        <v>128327</v>
      </c>
      <c r="E96" s="13">
        <v>44515</v>
      </c>
      <c r="F96" s="5" t="s">
        <v>81</v>
      </c>
      <c r="G96" s="190">
        <v>2012</v>
      </c>
      <c r="H96" s="125" t="s">
        <v>96</v>
      </c>
      <c r="I96" s="125" t="s">
        <v>97</v>
      </c>
      <c r="J96" s="63">
        <v>10997.65</v>
      </c>
      <c r="K96" s="63"/>
      <c r="L96" s="63">
        <v>935.28</v>
      </c>
      <c r="M96" s="423">
        <v>921</v>
      </c>
      <c r="N96" s="58">
        <f t="shared" si="9"/>
        <v>11011.93</v>
      </c>
      <c r="O96" s="58">
        <f t="shared" si="10"/>
        <v>11511.93</v>
      </c>
      <c r="P96" s="69">
        <v>12990</v>
      </c>
      <c r="Q96" s="215" t="s">
        <v>336</v>
      </c>
      <c r="R96" s="299" t="s">
        <v>19</v>
      </c>
      <c r="T96" s="12"/>
      <c r="U96" s="12"/>
    </row>
    <row r="97" spans="1:21" ht="15.75" customHeight="1" x14ac:dyDescent="0.3">
      <c r="A97" s="5" t="s">
        <v>547</v>
      </c>
      <c r="B97" s="5"/>
      <c r="C97" s="387" t="s">
        <v>623</v>
      </c>
      <c r="D97" s="21">
        <v>42564</v>
      </c>
      <c r="E97" s="13">
        <v>44515</v>
      </c>
      <c r="F97" s="5" t="s">
        <v>79</v>
      </c>
      <c r="G97" s="190">
        <v>2010</v>
      </c>
      <c r="H97" s="125" t="s">
        <v>16</v>
      </c>
      <c r="I97" s="125" t="s">
        <v>624</v>
      </c>
      <c r="J97" s="63">
        <v>10891.85</v>
      </c>
      <c r="K97" s="63"/>
      <c r="L97" s="63">
        <v>1909.25</v>
      </c>
      <c r="M97" s="423">
        <v>921</v>
      </c>
      <c r="N97" s="58">
        <f t="shared" si="9"/>
        <v>11880.1</v>
      </c>
      <c r="O97" s="58">
        <f t="shared" si="10"/>
        <v>12380.1</v>
      </c>
      <c r="P97" s="69">
        <v>12546</v>
      </c>
      <c r="Q97" s="215" t="s">
        <v>336</v>
      </c>
      <c r="R97" s="299"/>
      <c r="T97" s="12"/>
      <c r="U97" s="12"/>
    </row>
    <row r="98" spans="1:21" ht="15.75" customHeight="1" x14ac:dyDescent="0.3">
      <c r="A98" s="5" t="s">
        <v>547</v>
      </c>
      <c r="B98" s="5"/>
      <c r="C98" s="321" t="s">
        <v>625</v>
      </c>
      <c r="D98" s="21">
        <v>45720</v>
      </c>
      <c r="E98" s="13">
        <v>44515</v>
      </c>
      <c r="F98" s="5" t="s">
        <v>81</v>
      </c>
      <c r="G98" s="190">
        <v>2013</v>
      </c>
      <c r="H98" s="125" t="s">
        <v>212</v>
      </c>
      <c r="I98" s="125" t="s">
        <v>247</v>
      </c>
      <c r="J98" s="63">
        <v>17008.7</v>
      </c>
      <c r="K98" s="63"/>
      <c r="L98" s="63">
        <v>1596.45</v>
      </c>
      <c r="M98" s="423">
        <v>1151</v>
      </c>
      <c r="N98" s="58">
        <f t="shared" si="9"/>
        <v>17454.150000000001</v>
      </c>
      <c r="O98" s="58">
        <f t="shared" si="10"/>
        <v>17954.150000000001</v>
      </c>
      <c r="P98" s="69">
        <v>17100</v>
      </c>
      <c r="Q98" s="215" t="s">
        <v>336</v>
      </c>
      <c r="R98" s="299"/>
      <c r="T98" s="12"/>
      <c r="U98" s="12"/>
    </row>
    <row r="99" spans="1:21" ht="15.75" customHeight="1" x14ac:dyDescent="0.3">
      <c r="A99" s="5" t="s">
        <v>547</v>
      </c>
      <c r="B99" s="5"/>
      <c r="C99" s="321" t="s">
        <v>628</v>
      </c>
      <c r="D99" s="21">
        <v>55199</v>
      </c>
      <c r="E99" s="13">
        <v>44515</v>
      </c>
      <c r="F99" s="5" t="s">
        <v>79</v>
      </c>
      <c r="G99" s="190">
        <v>2010</v>
      </c>
      <c r="H99" s="125" t="s">
        <v>16</v>
      </c>
      <c r="I99" s="125" t="s">
        <v>160</v>
      </c>
      <c r="J99" s="63">
        <v>13782.95</v>
      </c>
      <c r="K99" s="63"/>
      <c r="L99" s="63">
        <v>684.25</v>
      </c>
      <c r="M99" s="423">
        <v>921</v>
      </c>
      <c r="N99" s="58">
        <f t="shared" si="9"/>
        <v>13546.2</v>
      </c>
      <c r="O99" s="58">
        <f t="shared" si="10"/>
        <v>14046.2</v>
      </c>
      <c r="P99" s="69">
        <v>14500</v>
      </c>
      <c r="Q99" s="215" t="s">
        <v>336</v>
      </c>
      <c r="R99" s="299"/>
      <c r="T99" s="12"/>
      <c r="U99" s="12"/>
    </row>
    <row r="100" spans="1:21" ht="15.75" customHeight="1" x14ac:dyDescent="0.3">
      <c r="A100" s="5" t="s">
        <v>547</v>
      </c>
      <c r="B100" s="5"/>
      <c r="C100" s="321" t="s">
        <v>629</v>
      </c>
      <c r="D100" s="21">
        <v>59905</v>
      </c>
      <c r="E100" s="13">
        <v>44515</v>
      </c>
      <c r="F100" s="5" t="s">
        <v>79</v>
      </c>
      <c r="G100" s="190">
        <v>2011</v>
      </c>
      <c r="H100" s="125" t="s">
        <v>16</v>
      </c>
      <c r="I100" s="125" t="s">
        <v>112</v>
      </c>
      <c r="J100" s="63">
        <v>15000.8</v>
      </c>
      <c r="K100" s="63"/>
      <c r="L100" s="63">
        <v>1149.3699999999999</v>
      </c>
      <c r="M100" s="423">
        <v>921</v>
      </c>
      <c r="N100" s="58">
        <f t="shared" si="9"/>
        <v>15229.169999999998</v>
      </c>
      <c r="O100" s="58">
        <f t="shared" si="10"/>
        <v>15729.169999999998</v>
      </c>
      <c r="P100" s="69">
        <v>16200</v>
      </c>
      <c r="Q100" s="215" t="s">
        <v>336</v>
      </c>
      <c r="R100" s="299"/>
      <c r="T100" s="12"/>
      <c r="U100" s="12"/>
    </row>
    <row r="101" spans="1:21" ht="15.75" customHeight="1" x14ac:dyDescent="0.3">
      <c r="A101" s="130" t="s">
        <v>547</v>
      </c>
      <c r="B101" s="130"/>
      <c r="C101" s="324" t="s">
        <v>643</v>
      </c>
      <c r="D101" s="21">
        <v>49350</v>
      </c>
      <c r="E101" s="13">
        <v>44515</v>
      </c>
      <c r="F101" s="5" t="s">
        <v>79</v>
      </c>
      <c r="G101" s="190">
        <v>2005</v>
      </c>
      <c r="H101" s="125" t="s">
        <v>162</v>
      </c>
      <c r="I101" s="125" t="s">
        <v>276</v>
      </c>
      <c r="J101" s="283">
        <v>11014.9</v>
      </c>
      <c r="K101" s="283"/>
      <c r="L101" s="283">
        <v>2797.36</v>
      </c>
      <c r="M101" s="425">
        <v>921</v>
      </c>
      <c r="N101" s="58">
        <f t="shared" si="9"/>
        <v>12891.26</v>
      </c>
      <c r="O101" s="58">
        <f t="shared" si="10"/>
        <v>13391.26</v>
      </c>
      <c r="P101" s="69">
        <v>13812</v>
      </c>
      <c r="Q101" s="414" t="s">
        <v>336</v>
      </c>
      <c r="R101" s="299" t="s">
        <v>600</v>
      </c>
      <c r="T101" s="12"/>
      <c r="U101" s="12"/>
    </row>
    <row r="102" spans="1:21" ht="15.75" customHeight="1" x14ac:dyDescent="0.3">
      <c r="A102" s="130" t="s">
        <v>547</v>
      </c>
      <c r="B102" s="130"/>
      <c r="C102" s="324" t="s">
        <v>644</v>
      </c>
      <c r="D102" s="21">
        <v>86690</v>
      </c>
      <c r="E102" s="13">
        <v>44526</v>
      </c>
      <c r="F102" s="5" t="s">
        <v>645</v>
      </c>
      <c r="G102" s="190">
        <v>2009</v>
      </c>
      <c r="H102" s="125" t="s">
        <v>29</v>
      </c>
      <c r="I102" s="125" t="s">
        <v>646</v>
      </c>
      <c r="J102" s="283">
        <v>11711.66</v>
      </c>
      <c r="K102" s="283"/>
      <c r="L102" s="283">
        <v>808.22</v>
      </c>
      <c r="M102" s="425">
        <v>921</v>
      </c>
      <c r="N102" s="58">
        <f t="shared" si="9"/>
        <v>11598.88</v>
      </c>
      <c r="O102" s="58">
        <f t="shared" si="10"/>
        <v>12098.88</v>
      </c>
      <c r="P102" s="69"/>
      <c r="Q102" s="215" t="s">
        <v>336</v>
      </c>
      <c r="R102" s="299"/>
      <c r="T102" s="12"/>
      <c r="U102" s="12"/>
    </row>
    <row r="103" spans="1:21" ht="15.75" customHeight="1" x14ac:dyDescent="0.3">
      <c r="A103" s="5" t="s">
        <v>547</v>
      </c>
      <c r="B103" s="130"/>
      <c r="C103" s="324" t="s">
        <v>647</v>
      </c>
      <c r="D103" s="21">
        <v>59410</v>
      </c>
      <c r="E103" s="13">
        <v>44526</v>
      </c>
      <c r="F103" s="5" t="s">
        <v>648</v>
      </c>
      <c r="G103" s="190">
        <v>2009</v>
      </c>
      <c r="H103" s="125" t="s">
        <v>29</v>
      </c>
      <c r="I103" s="125" t="s">
        <v>30</v>
      </c>
      <c r="J103" s="283">
        <v>8497.75</v>
      </c>
      <c r="K103" s="283"/>
      <c r="L103" s="283">
        <v>699.6</v>
      </c>
      <c r="M103" s="425">
        <v>921</v>
      </c>
      <c r="N103" s="58">
        <f t="shared" si="9"/>
        <v>8276.35</v>
      </c>
      <c r="O103" s="58">
        <f t="shared" si="10"/>
        <v>8776.35</v>
      </c>
      <c r="P103" s="283">
        <v>9200</v>
      </c>
      <c r="Q103" s="295" t="s">
        <v>336</v>
      </c>
      <c r="R103" s="299"/>
      <c r="T103" s="12"/>
      <c r="U103" s="12"/>
    </row>
    <row r="104" spans="1:21" ht="15.75" customHeight="1" x14ac:dyDescent="0.3">
      <c r="A104" s="130" t="s">
        <v>547</v>
      </c>
      <c r="B104" s="130"/>
      <c r="C104" s="324" t="s">
        <v>650</v>
      </c>
      <c r="D104" s="21">
        <v>84339</v>
      </c>
      <c r="E104" s="13">
        <v>44545</v>
      </c>
      <c r="F104" s="5" t="s">
        <v>149</v>
      </c>
      <c r="G104" s="190">
        <v>2010</v>
      </c>
      <c r="H104" s="125" t="s">
        <v>162</v>
      </c>
      <c r="I104" s="125" t="s">
        <v>276</v>
      </c>
      <c r="J104" s="283">
        <v>14198.9</v>
      </c>
      <c r="K104" s="283"/>
      <c r="L104" s="283">
        <v>1739.71</v>
      </c>
      <c r="M104" s="425">
        <v>921</v>
      </c>
      <c r="N104" s="58">
        <f t="shared" si="9"/>
        <v>15017.61</v>
      </c>
      <c r="O104" s="58">
        <f t="shared" si="10"/>
        <v>15517.61</v>
      </c>
      <c r="P104" s="283"/>
      <c r="Q104" s="295" t="s">
        <v>573</v>
      </c>
      <c r="R104" s="299"/>
      <c r="T104" s="12"/>
      <c r="U104" s="12"/>
    </row>
    <row r="105" spans="1:21" ht="15.75" customHeight="1" x14ac:dyDescent="0.3">
      <c r="A105" s="5" t="s">
        <v>547</v>
      </c>
      <c r="B105" s="5"/>
      <c r="C105" s="321" t="s">
        <v>653</v>
      </c>
      <c r="D105" s="135">
        <v>108819</v>
      </c>
      <c r="E105" s="134">
        <v>44545</v>
      </c>
      <c r="F105" s="72" t="s">
        <v>654</v>
      </c>
      <c r="G105" s="190">
        <v>2013</v>
      </c>
      <c r="H105" s="125" t="s">
        <v>77</v>
      </c>
      <c r="I105" s="125" t="s">
        <v>455</v>
      </c>
      <c r="J105" s="283">
        <v>10279.700000000001</v>
      </c>
      <c r="K105" s="283"/>
      <c r="L105" s="283">
        <v>914.25</v>
      </c>
      <c r="M105" s="425">
        <v>921</v>
      </c>
      <c r="N105" s="58">
        <f t="shared" si="9"/>
        <v>10272.950000000001</v>
      </c>
      <c r="O105" s="283">
        <f t="shared" si="10"/>
        <v>10772.95</v>
      </c>
      <c r="P105" s="283">
        <v>11200</v>
      </c>
      <c r="Q105" s="295" t="s">
        <v>336</v>
      </c>
      <c r="R105" s="299"/>
      <c r="T105" s="12"/>
      <c r="U105" s="12"/>
    </row>
    <row r="106" spans="1:21" ht="15.75" customHeight="1" x14ac:dyDescent="0.3">
      <c r="A106" s="143" t="s">
        <v>547</v>
      </c>
      <c r="B106" s="143"/>
      <c r="C106" s="321" t="s">
        <v>664</v>
      </c>
      <c r="D106" s="135">
        <v>60874</v>
      </c>
      <c r="E106" s="134">
        <v>44609</v>
      </c>
      <c r="F106" s="72" t="s">
        <v>181</v>
      </c>
      <c r="G106" s="190">
        <v>2012</v>
      </c>
      <c r="H106" s="125" t="s">
        <v>29</v>
      </c>
      <c r="I106" s="125" t="s">
        <v>665</v>
      </c>
      <c r="J106" s="283">
        <v>12627</v>
      </c>
      <c r="K106" s="283"/>
      <c r="L106" s="283">
        <v>1144.25</v>
      </c>
      <c r="M106" s="425">
        <v>921</v>
      </c>
      <c r="N106" s="58">
        <f t="shared" si="9"/>
        <v>12850.25</v>
      </c>
      <c r="O106" s="283">
        <f t="shared" si="10"/>
        <v>13350.25</v>
      </c>
      <c r="P106" s="283">
        <v>13700</v>
      </c>
      <c r="Q106" s="295" t="s">
        <v>336</v>
      </c>
      <c r="R106" s="299"/>
      <c r="T106" s="12"/>
      <c r="U106" s="12"/>
    </row>
    <row r="107" spans="1:21" ht="15.75" customHeight="1" x14ac:dyDescent="0.3">
      <c r="A107" s="263" t="s">
        <v>547</v>
      </c>
      <c r="B107" s="149" t="s">
        <v>1523</v>
      </c>
      <c r="C107" s="322" t="s">
        <v>666</v>
      </c>
      <c r="D107" s="408">
        <v>33006</v>
      </c>
      <c r="E107" s="212">
        <v>44609</v>
      </c>
      <c r="F107" s="125" t="s">
        <v>40</v>
      </c>
      <c r="G107" s="190">
        <v>2014</v>
      </c>
      <c r="H107" s="125" t="s">
        <v>96</v>
      </c>
      <c r="I107" s="125" t="s">
        <v>383</v>
      </c>
      <c r="J107" s="411">
        <v>13254</v>
      </c>
      <c r="K107" s="411"/>
      <c r="L107" s="411">
        <f>834.26+159.39</f>
        <v>993.65</v>
      </c>
      <c r="M107" s="426">
        <v>921</v>
      </c>
      <c r="N107" s="213">
        <f>SUM(J107+K107+L107)</f>
        <v>14247.65</v>
      </c>
      <c r="O107" s="283">
        <f t="shared" si="10"/>
        <v>14747.65</v>
      </c>
      <c r="P107" s="283">
        <v>13400</v>
      </c>
      <c r="Q107" s="295" t="s">
        <v>573</v>
      </c>
      <c r="R107" s="299"/>
      <c r="T107" s="12"/>
      <c r="U107" s="12"/>
    </row>
    <row r="108" spans="1:21" ht="15.75" customHeight="1" x14ac:dyDescent="0.3">
      <c r="A108" s="263" t="s">
        <v>547</v>
      </c>
      <c r="B108" s="263"/>
      <c r="C108" s="321" t="s">
        <v>669</v>
      </c>
      <c r="D108" s="135">
        <v>78958</v>
      </c>
      <c r="E108" s="13">
        <v>44613</v>
      </c>
      <c r="F108" s="5" t="s">
        <v>178</v>
      </c>
      <c r="G108" s="340">
        <v>2011</v>
      </c>
      <c r="H108" s="126" t="s">
        <v>16</v>
      </c>
      <c r="I108" s="126" t="s">
        <v>160</v>
      </c>
      <c r="J108" s="283">
        <v>14337</v>
      </c>
      <c r="K108" s="283"/>
      <c r="L108" s="283">
        <v>1086.29</v>
      </c>
      <c r="M108" s="425">
        <v>921</v>
      </c>
      <c r="N108" s="58">
        <f t="shared" ref="N108:N113" si="11">SUM(J108+K108+L108-M108)</f>
        <v>14502.29</v>
      </c>
      <c r="O108" s="283">
        <f t="shared" si="10"/>
        <v>15002.29</v>
      </c>
      <c r="P108" s="283">
        <v>14500</v>
      </c>
      <c r="Q108" s="295" t="s">
        <v>336</v>
      </c>
      <c r="R108" s="299" t="s">
        <v>600</v>
      </c>
      <c r="T108" s="12"/>
      <c r="U108" s="12"/>
    </row>
    <row r="109" spans="1:21" ht="15.75" customHeight="1" x14ac:dyDescent="0.3">
      <c r="A109" s="143" t="s">
        <v>547</v>
      </c>
      <c r="B109" s="143" t="s">
        <v>1523</v>
      </c>
      <c r="C109" s="321" t="s">
        <v>675</v>
      </c>
      <c r="D109" s="135">
        <v>93331</v>
      </c>
      <c r="E109" s="13">
        <v>44613</v>
      </c>
      <c r="F109" s="5" t="s">
        <v>187</v>
      </c>
      <c r="G109" s="190">
        <v>2013</v>
      </c>
      <c r="H109" s="125" t="s">
        <v>96</v>
      </c>
      <c r="I109" s="125" t="s">
        <v>383</v>
      </c>
      <c r="J109" s="283">
        <v>12557</v>
      </c>
      <c r="K109" s="283"/>
      <c r="L109" s="283">
        <v>905.74</v>
      </c>
      <c r="M109" s="425">
        <v>921</v>
      </c>
      <c r="N109" s="58">
        <f t="shared" si="11"/>
        <v>12541.74</v>
      </c>
      <c r="O109" s="283">
        <f t="shared" si="10"/>
        <v>13041.74</v>
      </c>
      <c r="P109" s="283">
        <v>13300</v>
      </c>
      <c r="Q109" s="295" t="s">
        <v>336</v>
      </c>
      <c r="R109" s="299"/>
      <c r="T109" s="12"/>
      <c r="U109" s="12"/>
    </row>
    <row r="110" spans="1:21" ht="15.75" customHeight="1" x14ac:dyDescent="0.3">
      <c r="A110" s="263" t="s">
        <v>547</v>
      </c>
      <c r="B110" s="263"/>
      <c r="C110" s="321" t="s">
        <v>676</v>
      </c>
      <c r="D110" s="135">
        <v>67529</v>
      </c>
      <c r="E110" s="13">
        <v>44613</v>
      </c>
      <c r="F110" s="72" t="s">
        <v>187</v>
      </c>
      <c r="G110" s="340">
        <v>2013</v>
      </c>
      <c r="H110" s="126" t="s">
        <v>77</v>
      </c>
      <c r="I110" s="126" t="s">
        <v>455</v>
      </c>
      <c r="J110" s="283">
        <v>12572</v>
      </c>
      <c r="K110" s="283"/>
      <c r="L110" s="283">
        <v>1702.99</v>
      </c>
      <c r="M110" s="425">
        <v>921</v>
      </c>
      <c r="N110" s="58">
        <f t="shared" si="11"/>
        <v>13353.99</v>
      </c>
      <c r="O110" s="283">
        <f t="shared" si="10"/>
        <v>13853.99</v>
      </c>
      <c r="P110" s="283"/>
      <c r="Q110" s="295" t="s">
        <v>336</v>
      </c>
      <c r="R110" s="299" t="s">
        <v>73</v>
      </c>
      <c r="T110" s="12"/>
      <c r="U110" s="12"/>
    </row>
    <row r="111" spans="1:21" ht="15.75" customHeight="1" x14ac:dyDescent="0.3">
      <c r="A111" s="130" t="s">
        <v>547</v>
      </c>
      <c r="B111" s="130"/>
      <c r="C111" s="321" t="s">
        <v>729</v>
      </c>
      <c r="D111" s="135">
        <v>98927</v>
      </c>
      <c r="E111" s="13">
        <v>44633</v>
      </c>
      <c r="F111" s="130" t="s">
        <v>228</v>
      </c>
      <c r="G111" s="340">
        <v>2013</v>
      </c>
      <c r="H111" s="126" t="s">
        <v>16</v>
      </c>
      <c r="I111" s="126" t="s">
        <v>234</v>
      </c>
      <c r="J111" s="282">
        <v>16186</v>
      </c>
      <c r="K111" s="282"/>
      <c r="L111" s="282">
        <v>1039.8</v>
      </c>
      <c r="M111" s="425">
        <v>921</v>
      </c>
      <c r="N111" s="58">
        <f t="shared" si="11"/>
        <v>16304.8</v>
      </c>
      <c r="O111" s="283">
        <f t="shared" si="10"/>
        <v>16804.8</v>
      </c>
      <c r="P111" s="283">
        <v>16923</v>
      </c>
      <c r="Q111" s="295" t="s">
        <v>336</v>
      </c>
      <c r="R111" s="121" t="s">
        <v>19</v>
      </c>
      <c r="T111" s="12"/>
      <c r="U111" s="12"/>
    </row>
    <row r="112" spans="1:21" ht="15.75" customHeight="1" x14ac:dyDescent="0.3">
      <c r="A112" s="263" t="s">
        <v>547</v>
      </c>
      <c r="B112" s="263"/>
      <c r="C112" s="321" t="s">
        <v>750</v>
      </c>
      <c r="D112" s="135">
        <v>62446</v>
      </c>
      <c r="E112" s="13">
        <v>44633</v>
      </c>
      <c r="F112" s="72" t="s">
        <v>228</v>
      </c>
      <c r="G112" s="340">
        <v>2014</v>
      </c>
      <c r="H112" s="126" t="s">
        <v>77</v>
      </c>
      <c r="I112" s="126" t="s">
        <v>158</v>
      </c>
      <c r="J112" s="282">
        <v>11528</v>
      </c>
      <c r="K112" s="282"/>
      <c r="L112" s="282">
        <v>4113.66</v>
      </c>
      <c r="M112" s="425">
        <v>921</v>
      </c>
      <c r="N112" s="58">
        <f t="shared" si="11"/>
        <v>14720.66</v>
      </c>
      <c r="O112" s="283">
        <f t="shared" si="10"/>
        <v>15220.66</v>
      </c>
      <c r="P112" s="283">
        <v>12000</v>
      </c>
      <c r="Q112" s="295" t="s">
        <v>336</v>
      </c>
      <c r="R112" s="121" t="s">
        <v>19</v>
      </c>
      <c r="T112" s="12"/>
      <c r="U112" s="12"/>
    </row>
    <row r="113" spans="1:21" ht="15.75" customHeight="1" x14ac:dyDescent="0.3">
      <c r="A113" s="143" t="s">
        <v>547</v>
      </c>
      <c r="B113" s="143"/>
      <c r="C113" s="321" t="s">
        <v>753</v>
      </c>
      <c r="D113" s="135">
        <v>104016</v>
      </c>
      <c r="E113" s="13">
        <v>44633</v>
      </c>
      <c r="F113" s="72" t="s">
        <v>211</v>
      </c>
      <c r="G113" s="190">
        <v>2016</v>
      </c>
      <c r="H113" s="125" t="s">
        <v>450</v>
      </c>
      <c r="I113" s="125" t="s">
        <v>451</v>
      </c>
      <c r="J113" s="282">
        <v>9305</v>
      </c>
      <c r="K113" s="282"/>
      <c r="L113" s="282">
        <v>987.28</v>
      </c>
      <c r="M113" s="425">
        <v>921</v>
      </c>
      <c r="N113" s="58">
        <f t="shared" si="11"/>
        <v>9371.2800000000007</v>
      </c>
      <c r="O113" s="283">
        <f t="shared" si="10"/>
        <v>9871.2800000000007</v>
      </c>
      <c r="P113" s="283">
        <v>10000</v>
      </c>
      <c r="Q113" s="295" t="s">
        <v>336</v>
      </c>
      <c r="R113" s="121" t="s">
        <v>19</v>
      </c>
      <c r="T113" s="12"/>
      <c r="U113" s="12"/>
    </row>
    <row r="114" spans="1:21" ht="15.75" customHeight="1" x14ac:dyDescent="0.3">
      <c r="A114" s="5" t="s">
        <v>547</v>
      </c>
      <c r="B114" s="5"/>
      <c r="C114" s="321" t="s">
        <v>567</v>
      </c>
      <c r="D114" s="135">
        <v>73581</v>
      </c>
      <c r="E114" s="13">
        <v>44190</v>
      </c>
      <c r="F114" s="72" t="s">
        <v>28</v>
      </c>
      <c r="G114" s="190">
        <v>2009</v>
      </c>
      <c r="H114" s="125" t="s">
        <v>37</v>
      </c>
      <c r="I114" s="125" t="s">
        <v>38</v>
      </c>
      <c r="J114" s="283">
        <v>15039.7</v>
      </c>
      <c r="K114" s="283"/>
      <c r="L114" s="283">
        <v>4803.4399999999996</v>
      </c>
      <c r="M114" s="425">
        <v>1151</v>
      </c>
      <c r="N114" s="58">
        <f>SUM(J114+L114-M114)</f>
        <v>18692.14</v>
      </c>
      <c r="O114" s="283">
        <f t="shared" si="10"/>
        <v>19192.14</v>
      </c>
      <c r="P114" s="283">
        <v>19843.14</v>
      </c>
      <c r="Q114" s="295" t="s">
        <v>573</v>
      </c>
      <c r="R114" s="299"/>
      <c r="S114" s="299"/>
      <c r="T114" s="12"/>
      <c r="U114" s="12"/>
    </row>
    <row r="115" spans="1:21" ht="15.75" customHeight="1" x14ac:dyDescent="0.3">
      <c r="A115" s="5" t="s">
        <v>547</v>
      </c>
      <c r="B115" s="5"/>
      <c r="C115" s="321" t="s">
        <v>572</v>
      </c>
      <c r="D115" s="135">
        <v>67879</v>
      </c>
      <c r="E115" s="13">
        <v>44201</v>
      </c>
      <c r="F115" s="72" t="s">
        <v>36</v>
      </c>
      <c r="G115" s="190">
        <v>2009</v>
      </c>
      <c r="H115" s="125" t="s">
        <v>37</v>
      </c>
      <c r="I115" s="125" t="s">
        <v>56</v>
      </c>
      <c r="J115" s="283">
        <v>12969.7</v>
      </c>
      <c r="K115" s="283"/>
      <c r="L115" s="283">
        <v>1336.39</v>
      </c>
      <c r="M115" s="425">
        <v>1151</v>
      </c>
      <c r="N115" s="58">
        <f>SUM(J115+L115-M115)</f>
        <v>13155.09</v>
      </c>
      <c r="O115" s="283">
        <f t="shared" si="10"/>
        <v>13655.09</v>
      </c>
      <c r="P115" s="290">
        <v>14306.05</v>
      </c>
      <c r="Q115" s="122" t="s">
        <v>573</v>
      </c>
      <c r="R115" s="120"/>
      <c r="S115" s="299"/>
      <c r="T115" s="12"/>
      <c r="U115" s="12"/>
    </row>
    <row r="116" spans="1:21" ht="15.75" customHeight="1" x14ac:dyDescent="0.3">
      <c r="A116" s="5" t="s">
        <v>547</v>
      </c>
      <c r="B116" s="5"/>
      <c r="C116" s="321" t="s">
        <v>603</v>
      </c>
      <c r="D116" s="21">
        <v>72504</v>
      </c>
      <c r="E116" s="13">
        <v>44448</v>
      </c>
      <c r="F116" s="130" t="s">
        <v>319</v>
      </c>
      <c r="G116" s="316">
        <v>2010</v>
      </c>
      <c r="H116" s="122" t="s">
        <v>96</v>
      </c>
      <c r="I116" s="122" t="s">
        <v>100</v>
      </c>
      <c r="J116" s="283">
        <v>11859.45</v>
      </c>
      <c r="K116" s="283"/>
      <c r="L116" s="283">
        <v>1606.11</v>
      </c>
      <c r="M116" s="425">
        <v>921</v>
      </c>
      <c r="N116" s="58">
        <f t="shared" ref="N116:N132" si="12">SUM(J116+K116+L116-M116)</f>
        <v>12544.560000000001</v>
      </c>
      <c r="O116" s="283">
        <f t="shared" si="10"/>
        <v>13044.560000000001</v>
      </c>
      <c r="P116" s="283">
        <v>13465.56</v>
      </c>
      <c r="Q116" s="122" t="s">
        <v>573</v>
      </c>
      <c r="R116" s="299" t="s">
        <v>604</v>
      </c>
      <c r="T116" s="12"/>
      <c r="U116" s="12"/>
    </row>
    <row r="117" spans="1:21" ht="15.75" customHeight="1" x14ac:dyDescent="0.3">
      <c r="A117" s="5" t="s">
        <v>547</v>
      </c>
      <c r="B117" s="5"/>
      <c r="C117" s="321" t="s">
        <v>626</v>
      </c>
      <c r="D117" s="21">
        <v>80125</v>
      </c>
      <c r="E117" s="13">
        <v>44515</v>
      </c>
      <c r="F117" s="130" t="s">
        <v>88</v>
      </c>
      <c r="G117" s="316">
        <v>2011</v>
      </c>
      <c r="H117" s="122" t="s">
        <v>21</v>
      </c>
      <c r="I117" s="122" t="s">
        <v>109</v>
      </c>
      <c r="J117" s="283">
        <v>10913.7</v>
      </c>
      <c r="K117" s="283"/>
      <c r="L117" s="283">
        <v>1015.73</v>
      </c>
      <c r="M117" s="425">
        <v>1151</v>
      </c>
      <c r="N117" s="58">
        <f t="shared" si="12"/>
        <v>10778.43</v>
      </c>
      <c r="O117" s="283">
        <f t="shared" si="10"/>
        <v>11278.43</v>
      </c>
      <c r="P117" s="283">
        <v>10756.73</v>
      </c>
      <c r="Q117" s="122" t="s">
        <v>573</v>
      </c>
      <c r="R117" s="299"/>
    </row>
    <row r="118" spans="1:21" ht="15.75" customHeight="1" x14ac:dyDescent="0.3">
      <c r="A118" s="5" t="s">
        <v>547</v>
      </c>
      <c r="B118" s="5"/>
      <c r="C118" s="321" t="s">
        <v>630</v>
      </c>
      <c r="D118" s="21">
        <v>75368</v>
      </c>
      <c r="E118" s="13">
        <v>44515</v>
      </c>
      <c r="F118" s="130" t="s">
        <v>88</v>
      </c>
      <c r="G118" s="316">
        <v>2010</v>
      </c>
      <c r="H118" s="122" t="s">
        <v>29</v>
      </c>
      <c r="I118" s="122" t="s">
        <v>341</v>
      </c>
      <c r="J118" s="283">
        <v>8709.15</v>
      </c>
      <c r="K118" s="283"/>
      <c r="L118" s="283">
        <v>796.13</v>
      </c>
      <c r="M118" s="425">
        <v>921</v>
      </c>
      <c r="N118" s="58">
        <f t="shared" si="12"/>
        <v>8584.2799999999988</v>
      </c>
      <c r="O118" s="283">
        <f t="shared" si="10"/>
        <v>9084.2799999999988</v>
      </c>
      <c r="P118" s="283">
        <v>8584.2800000000007</v>
      </c>
      <c r="Q118" s="295" t="s">
        <v>573</v>
      </c>
      <c r="R118" s="299"/>
    </row>
    <row r="119" spans="1:21" ht="15.75" customHeight="1" x14ac:dyDescent="0.3">
      <c r="A119" s="130" t="s">
        <v>547</v>
      </c>
      <c r="B119" s="130"/>
      <c r="C119" s="321" t="s">
        <v>723</v>
      </c>
      <c r="D119" s="21">
        <v>126896</v>
      </c>
      <c r="E119" s="13">
        <v>44633</v>
      </c>
      <c r="F119" s="130" t="s">
        <v>200</v>
      </c>
      <c r="G119" s="190">
        <v>2010</v>
      </c>
      <c r="H119" s="125" t="s">
        <v>96</v>
      </c>
      <c r="I119" s="125" t="s">
        <v>224</v>
      </c>
      <c r="J119" s="282">
        <v>9357</v>
      </c>
      <c r="K119" s="282"/>
      <c r="L119" s="282">
        <v>1611.09</v>
      </c>
      <c r="M119" s="425">
        <v>921</v>
      </c>
      <c r="N119" s="58">
        <f t="shared" si="12"/>
        <v>10047.09</v>
      </c>
      <c r="O119" s="283">
        <f t="shared" ref="O119:O150" si="13">SUM(N119+500)</f>
        <v>10547.09</v>
      </c>
      <c r="P119" s="283">
        <v>10547.09</v>
      </c>
      <c r="Q119" s="295" t="s">
        <v>573</v>
      </c>
      <c r="R119" s="12"/>
    </row>
    <row r="120" spans="1:21" ht="15.75" customHeight="1" x14ac:dyDescent="0.3">
      <c r="A120" s="130" t="s">
        <v>547</v>
      </c>
      <c r="B120" s="130"/>
      <c r="C120" s="321" t="s">
        <v>724</v>
      </c>
      <c r="D120" s="21">
        <v>117957</v>
      </c>
      <c r="E120" s="13">
        <v>44633</v>
      </c>
      <c r="F120" s="130" t="s">
        <v>200</v>
      </c>
      <c r="G120" s="190">
        <v>2009</v>
      </c>
      <c r="H120" s="125" t="s">
        <v>96</v>
      </c>
      <c r="I120" s="125" t="s">
        <v>97</v>
      </c>
      <c r="J120" s="282">
        <v>7324</v>
      </c>
      <c r="K120" s="282"/>
      <c r="L120" s="282">
        <f>2087.08+120.06</f>
        <v>2207.14</v>
      </c>
      <c r="M120" s="425">
        <v>921</v>
      </c>
      <c r="N120" s="58">
        <f t="shared" si="12"/>
        <v>8610.14</v>
      </c>
      <c r="O120" s="283">
        <f t="shared" si="13"/>
        <v>9110.14</v>
      </c>
      <c r="P120" s="283">
        <v>8490.08</v>
      </c>
      <c r="Q120" s="295" t="s">
        <v>573</v>
      </c>
      <c r="R120" s="12" t="s">
        <v>73</v>
      </c>
    </row>
    <row r="121" spans="1:21" ht="15.75" customHeight="1" x14ac:dyDescent="0.3">
      <c r="A121" s="130" t="s">
        <v>547</v>
      </c>
      <c r="B121" s="130"/>
      <c r="C121" s="321" t="s">
        <v>730</v>
      </c>
      <c r="D121" s="21">
        <v>165983</v>
      </c>
      <c r="E121" s="13">
        <v>44633</v>
      </c>
      <c r="F121" s="130" t="s">
        <v>228</v>
      </c>
      <c r="G121" s="190">
        <v>2011</v>
      </c>
      <c r="H121" s="125" t="s">
        <v>96</v>
      </c>
      <c r="I121" s="125" t="s">
        <v>100</v>
      </c>
      <c r="J121" s="282">
        <v>10030</v>
      </c>
      <c r="K121" s="282"/>
      <c r="L121" s="282">
        <v>1715.27</v>
      </c>
      <c r="M121" s="425">
        <v>921</v>
      </c>
      <c r="N121" s="58">
        <f t="shared" si="12"/>
        <v>10824.27</v>
      </c>
      <c r="O121" s="283">
        <f t="shared" si="13"/>
        <v>11324.27</v>
      </c>
      <c r="P121" s="283">
        <v>10824.27</v>
      </c>
      <c r="Q121" s="295" t="s">
        <v>573</v>
      </c>
      <c r="R121" s="12" t="s">
        <v>600</v>
      </c>
    </row>
    <row r="122" spans="1:21" ht="15.75" customHeight="1" x14ac:dyDescent="0.3">
      <c r="A122" s="130" t="s">
        <v>547</v>
      </c>
      <c r="B122" s="130"/>
      <c r="C122" s="321" t="s">
        <v>737</v>
      </c>
      <c r="D122" s="21">
        <v>76918</v>
      </c>
      <c r="E122" s="13">
        <v>44633</v>
      </c>
      <c r="F122" s="130" t="s">
        <v>211</v>
      </c>
      <c r="G122" s="190">
        <v>2011</v>
      </c>
      <c r="H122" s="125" t="s">
        <v>21</v>
      </c>
      <c r="I122" s="125" t="s">
        <v>127</v>
      </c>
      <c r="J122" s="282">
        <v>8968</v>
      </c>
      <c r="K122" s="282"/>
      <c r="L122" s="282">
        <v>1198.9100000000001</v>
      </c>
      <c r="M122" s="425">
        <v>1151</v>
      </c>
      <c r="N122" s="58">
        <f t="shared" si="12"/>
        <v>9015.91</v>
      </c>
      <c r="O122" s="283">
        <f t="shared" si="13"/>
        <v>9515.91</v>
      </c>
      <c r="P122" s="283">
        <v>9245.91</v>
      </c>
      <c r="Q122" s="295" t="s">
        <v>573</v>
      </c>
      <c r="R122" s="12" t="s">
        <v>710</v>
      </c>
    </row>
    <row r="123" spans="1:21" ht="15.75" customHeight="1" x14ac:dyDescent="0.3">
      <c r="A123" s="130" t="s">
        <v>547</v>
      </c>
      <c r="B123" s="130"/>
      <c r="C123" s="321" t="s">
        <v>738</v>
      </c>
      <c r="D123" s="21">
        <v>54550</v>
      </c>
      <c r="E123" s="13">
        <v>44633</v>
      </c>
      <c r="F123" s="130" t="s">
        <v>200</v>
      </c>
      <c r="G123" s="190">
        <v>2010</v>
      </c>
      <c r="H123" s="125" t="s">
        <v>21</v>
      </c>
      <c r="I123" s="125" t="s">
        <v>66</v>
      </c>
      <c r="J123" s="282">
        <v>9844</v>
      </c>
      <c r="K123" s="282"/>
      <c r="L123" s="282">
        <v>1516.42</v>
      </c>
      <c r="M123" s="425">
        <v>1151</v>
      </c>
      <c r="N123" s="58">
        <f t="shared" si="12"/>
        <v>10209.42</v>
      </c>
      <c r="O123" s="283">
        <f t="shared" si="13"/>
        <v>10709.42</v>
      </c>
      <c r="P123" s="283">
        <v>10439.42</v>
      </c>
      <c r="Q123" s="295" t="s">
        <v>573</v>
      </c>
      <c r="R123" s="12" t="s">
        <v>710</v>
      </c>
    </row>
    <row r="124" spans="1:21" ht="15.75" customHeight="1" x14ac:dyDescent="0.3">
      <c r="A124" s="130" t="s">
        <v>547</v>
      </c>
      <c r="B124" s="130"/>
      <c r="C124" s="321" t="s">
        <v>740</v>
      </c>
      <c r="D124" s="21">
        <v>91542</v>
      </c>
      <c r="E124" s="13">
        <v>44633</v>
      </c>
      <c r="F124" s="130" t="s">
        <v>211</v>
      </c>
      <c r="G124" s="190">
        <v>2009</v>
      </c>
      <c r="H124" s="125" t="s">
        <v>21</v>
      </c>
      <c r="I124" s="125" t="s">
        <v>208</v>
      </c>
      <c r="J124" s="282">
        <v>9106</v>
      </c>
      <c r="K124" s="282"/>
      <c r="L124" s="282">
        <v>891.86</v>
      </c>
      <c r="M124" s="425">
        <v>1151</v>
      </c>
      <c r="N124" s="58">
        <f t="shared" si="12"/>
        <v>8846.86</v>
      </c>
      <c r="O124" s="283">
        <f t="shared" si="13"/>
        <v>9346.86</v>
      </c>
      <c r="P124" s="283">
        <v>9084.86</v>
      </c>
      <c r="Q124" s="295" t="s">
        <v>573</v>
      </c>
      <c r="R124" s="12"/>
    </row>
    <row r="125" spans="1:21" ht="15.75" customHeight="1" x14ac:dyDescent="0.3">
      <c r="A125" s="130" t="s">
        <v>547</v>
      </c>
      <c r="B125" s="130"/>
      <c r="C125" s="321" t="s">
        <v>741</v>
      </c>
      <c r="D125" s="21">
        <v>119956</v>
      </c>
      <c r="E125" s="134">
        <v>44633</v>
      </c>
      <c r="F125" s="130" t="s">
        <v>211</v>
      </c>
      <c r="G125" s="190">
        <v>2009</v>
      </c>
      <c r="H125" s="125" t="s">
        <v>96</v>
      </c>
      <c r="I125" s="125" t="s">
        <v>224</v>
      </c>
      <c r="J125" s="282">
        <v>10058</v>
      </c>
      <c r="K125" s="282"/>
      <c r="L125" s="282">
        <v>763.34</v>
      </c>
      <c r="M125" s="425">
        <v>921</v>
      </c>
      <c r="N125" s="58">
        <f t="shared" si="12"/>
        <v>9900.34</v>
      </c>
      <c r="O125" s="283">
        <f t="shared" si="13"/>
        <v>10400.34</v>
      </c>
      <c r="P125" s="283">
        <v>10400.34</v>
      </c>
      <c r="Q125" s="295" t="s">
        <v>573</v>
      </c>
      <c r="R125" s="12"/>
    </row>
    <row r="126" spans="1:21" ht="15.75" customHeight="1" x14ac:dyDescent="0.3">
      <c r="A126" s="130" t="s">
        <v>547</v>
      </c>
      <c r="B126" s="130"/>
      <c r="C126" s="321" t="s">
        <v>742</v>
      </c>
      <c r="D126" s="21">
        <v>114565</v>
      </c>
      <c r="E126" s="134">
        <v>44633</v>
      </c>
      <c r="F126" s="130" t="s">
        <v>200</v>
      </c>
      <c r="G126" s="190">
        <v>2010</v>
      </c>
      <c r="H126" s="125" t="s">
        <v>16</v>
      </c>
      <c r="I126" s="125" t="s">
        <v>41</v>
      </c>
      <c r="J126" s="282">
        <v>8104</v>
      </c>
      <c r="K126" s="282"/>
      <c r="L126" s="282">
        <v>1577.69</v>
      </c>
      <c r="M126" s="425">
        <v>921</v>
      </c>
      <c r="N126" s="58">
        <f t="shared" si="12"/>
        <v>8760.69</v>
      </c>
      <c r="O126" s="283">
        <f t="shared" si="13"/>
        <v>9260.69</v>
      </c>
      <c r="P126" s="283">
        <v>9260.69</v>
      </c>
      <c r="Q126" s="295" t="s">
        <v>573</v>
      </c>
      <c r="R126" s="12"/>
    </row>
    <row r="127" spans="1:21" ht="15.75" customHeight="1" x14ac:dyDescent="0.3">
      <c r="A127" s="130" t="s">
        <v>547</v>
      </c>
      <c r="B127" s="130"/>
      <c r="C127" s="321" t="s">
        <v>745</v>
      </c>
      <c r="D127" s="21">
        <v>49642</v>
      </c>
      <c r="E127" s="134">
        <v>44633</v>
      </c>
      <c r="F127" s="130" t="s">
        <v>228</v>
      </c>
      <c r="G127" s="190">
        <v>2009</v>
      </c>
      <c r="H127" s="125" t="s">
        <v>29</v>
      </c>
      <c r="I127" s="125" t="s">
        <v>341</v>
      </c>
      <c r="J127" s="282">
        <v>9396</v>
      </c>
      <c r="K127" s="282"/>
      <c r="L127" s="282">
        <v>824.31</v>
      </c>
      <c r="M127" s="425">
        <v>921</v>
      </c>
      <c r="N127" s="58">
        <f t="shared" si="12"/>
        <v>9299.31</v>
      </c>
      <c r="O127" s="283">
        <f t="shared" si="13"/>
        <v>9799.31</v>
      </c>
      <c r="P127" s="283">
        <v>9299.31</v>
      </c>
      <c r="Q127" s="295" t="s">
        <v>573</v>
      </c>
      <c r="R127" s="12" t="s">
        <v>600</v>
      </c>
    </row>
    <row r="128" spans="1:21" ht="15.75" customHeight="1" x14ac:dyDescent="0.3">
      <c r="A128" s="263" t="s">
        <v>547</v>
      </c>
      <c r="B128" s="263"/>
      <c r="C128" s="321" t="s">
        <v>754</v>
      </c>
      <c r="D128" s="21">
        <v>156428</v>
      </c>
      <c r="E128" s="134">
        <v>44633</v>
      </c>
      <c r="F128" s="130" t="s">
        <v>211</v>
      </c>
      <c r="G128" s="190">
        <v>2013</v>
      </c>
      <c r="H128" s="125" t="s">
        <v>539</v>
      </c>
      <c r="I128" s="125" t="s">
        <v>755</v>
      </c>
      <c r="J128" s="282">
        <v>12208</v>
      </c>
      <c r="K128" s="282"/>
      <c r="L128" s="282">
        <v>1906.01</v>
      </c>
      <c r="M128" s="425">
        <v>921</v>
      </c>
      <c r="N128" s="58">
        <f t="shared" si="12"/>
        <v>13193.01</v>
      </c>
      <c r="O128" s="283">
        <f t="shared" si="13"/>
        <v>13693.01</v>
      </c>
      <c r="P128" s="283">
        <v>13083.31</v>
      </c>
      <c r="Q128" s="295" t="s">
        <v>573</v>
      </c>
      <c r="R128" s="12"/>
    </row>
    <row r="129" spans="1:18" ht="15.75" customHeight="1" x14ac:dyDescent="0.3">
      <c r="A129" s="279" t="s">
        <v>547</v>
      </c>
      <c r="B129" s="279"/>
      <c r="C129" s="329" t="s">
        <v>761</v>
      </c>
      <c r="D129" s="23">
        <v>37483</v>
      </c>
      <c r="E129" s="262">
        <v>44662</v>
      </c>
      <c r="F129" s="118" t="s">
        <v>372</v>
      </c>
      <c r="G129" s="268">
        <v>2014</v>
      </c>
      <c r="H129" s="25" t="s">
        <v>762</v>
      </c>
      <c r="I129" s="25" t="s">
        <v>763</v>
      </c>
      <c r="J129" s="124">
        <v>16602.95</v>
      </c>
      <c r="K129" s="124"/>
      <c r="L129" s="124">
        <v>1007.69</v>
      </c>
      <c r="M129" s="427">
        <v>1151</v>
      </c>
      <c r="N129" s="58">
        <f t="shared" si="12"/>
        <v>16459.64</v>
      </c>
      <c r="O129" s="124">
        <f t="shared" si="13"/>
        <v>16959.64</v>
      </c>
      <c r="P129" s="124">
        <v>16689.64</v>
      </c>
      <c r="Q129" s="122" t="s">
        <v>573</v>
      </c>
      <c r="R129" s="12" t="s">
        <v>252</v>
      </c>
    </row>
    <row r="130" spans="1:18" ht="15.75" customHeight="1" x14ac:dyDescent="0.3">
      <c r="A130" s="118" t="s">
        <v>547</v>
      </c>
      <c r="B130" s="118"/>
      <c r="C130" s="329" t="s">
        <v>772</v>
      </c>
      <c r="D130" s="23">
        <v>44107</v>
      </c>
      <c r="E130" s="262">
        <v>44673</v>
      </c>
      <c r="F130" s="130" t="s">
        <v>766</v>
      </c>
      <c r="G130" s="268">
        <v>2009</v>
      </c>
      <c r="H130" s="25" t="s">
        <v>21</v>
      </c>
      <c r="I130" s="25" t="s">
        <v>773</v>
      </c>
      <c r="J130" s="124">
        <v>7347.75</v>
      </c>
      <c r="K130" s="124"/>
      <c r="L130" s="124">
        <v>430.27</v>
      </c>
      <c r="M130" s="427">
        <v>1151</v>
      </c>
      <c r="N130" s="58">
        <f t="shared" si="12"/>
        <v>6627.02</v>
      </c>
      <c r="O130" s="124">
        <f t="shared" si="13"/>
        <v>7127.02</v>
      </c>
      <c r="P130" s="124">
        <v>7778.02</v>
      </c>
      <c r="Q130" s="122" t="s">
        <v>573</v>
      </c>
      <c r="R130" s="12" t="s">
        <v>73</v>
      </c>
    </row>
    <row r="131" spans="1:18" ht="15.75" customHeight="1" x14ac:dyDescent="0.3">
      <c r="A131" s="118" t="s">
        <v>547</v>
      </c>
      <c r="B131" s="118"/>
      <c r="C131" s="329" t="s">
        <v>774</v>
      </c>
      <c r="D131" s="23">
        <v>97913</v>
      </c>
      <c r="E131" s="262">
        <v>44673</v>
      </c>
      <c r="F131" s="130" t="s">
        <v>766</v>
      </c>
      <c r="G131" s="268">
        <v>2011</v>
      </c>
      <c r="H131" s="25" t="s">
        <v>21</v>
      </c>
      <c r="I131" s="25" t="s">
        <v>109</v>
      </c>
      <c r="J131" s="124">
        <v>8329.85</v>
      </c>
      <c r="K131" s="124"/>
      <c r="L131" s="124">
        <v>1135.19</v>
      </c>
      <c r="M131" s="427">
        <v>1151</v>
      </c>
      <c r="N131" s="58">
        <f t="shared" si="12"/>
        <v>8314.0400000000009</v>
      </c>
      <c r="O131" s="124">
        <f t="shared" si="13"/>
        <v>8814.0400000000009</v>
      </c>
      <c r="P131" s="124">
        <v>9465.0400000000009</v>
      </c>
      <c r="Q131" s="122" t="s">
        <v>573</v>
      </c>
      <c r="R131" s="12"/>
    </row>
    <row r="132" spans="1:18" ht="15.75" customHeight="1" x14ac:dyDescent="0.3">
      <c r="A132" s="118" t="s">
        <v>547</v>
      </c>
      <c r="B132" s="118"/>
      <c r="C132" s="329" t="s">
        <v>775</v>
      </c>
      <c r="D132" s="23">
        <v>92264</v>
      </c>
      <c r="E132" s="262">
        <v>44673</v>
      </c>
      <c r="F132" s="130" t="s">
        <v>766</v>
      </c>
      <c r="G132" s="268">
        <v>2012</v>
      </c>
      <c r="H132" s="25" t="s">
        <v>212</v>
      </c>
      <c r="I132" s="25" t="s">
        <v>359</v>
      </c>
      <c r="J132" s="124">
        <v>5347.9</v>
      </c>
      <c r="K132" s="124"/>
      <c r="L132" s="124">
        <v>1531.8</v>
      </c>
      <c r="M132" s="427">
        <v>1151</v>
      </c>
      <c r="N132" s="58">
        <f t="shared" si="12"/>
        <v>5728.7</v>
      </c>
      <c r="O132" s="124">
        <f t="shared" si="13"/>
        <v>6228.7</v>
      </c>
      <c r="P132" s="124">
        <v>6879.7</v>
      </c>
      <c r="Q132" s="122" t="s">
        <v>573</v>
      </c>
      <c r="R132" s="12"/>
    </row>
    <row r="133" spans="1:18" ht="15.75" customHeight="1" x14ac:dyDescent="0.3">
      <c r="A133" s="130" t="s">
        <v>547</v>
      </c>
      <c r="B133" s="130"/>
      <c r="C133" s="321" t="s">
        <v>551</v>
      </c>
      <c r="D133" s="21">
        <v>70060</v>
      </c>
      <c r="E133" s="134">
        <v>44141</v>
      </c>
      <c r="F133" s="130" t="s">
        <v>549</v>
      </c>
      <c r="G133" s="190">
        <v>2008</v>
      </c>
      <c r="H133" s="125" t="s">
        <v>212</v>
      </c>
      <c r="I133" s="125" t="s">
        <v>213</v>
      </c>
      <c r="J133" s="283">
        <v>20210.099999999999</v>
      </c>
      <c r="K133" s="283"/>
      <c r="L133" s="283">
        <v>2675.92</v>
      </c>
      <c r="M133" s="428">
        <v>1151</v>
      </c>
      <c r="N133" s="58">
        <f>SUM(J133+L133-M133)</f>
        <v>21735.019999999997</v>
      </c>
      <c r="O133" s="283">
        <f t="shared" si="13"/>
        <v>22235.019999999997</v>
      </c>
      <c r="P133" s="290">
        <v>10400</v>
      </c>
      <c r="Q133" s="273" t="s">
        <v>573</v>
      </c>
      <c r="R133" s="299"/>
    </row>
    <row r="134" spans="1:18" ht="15.75" customHeight="1" x14ac:dyDescent="0.3">
      <c r="A134" s="130" t="s">
        <v>547</v>
      </c>
      <c r="B134" s="130"/>
      <c r="C134" s="321" t="s">
        <v>560</v>
      </c>
      <c r="D134" s="21">
        <v>76689</v>
      </c>
      <c r="E134" s="134">
        <v>44168</v>
      </c>
      <c r="F134" s="130" t="s">
        <v>559</v>
      </c>
      <c r="G134" s="190">
        <v>2008</v>
      </c>
      <c r="H134" s="125" t="s">
        <v>37</v>
      </c>
      <c r="I134" s="125" t="s">
        <v>56</v>
      </c>
      <c r="J134" s="283">
        <v>6107.65</v>
      </c>
      <c r="K134" s="283">
        <v>1217.1600000000001</v>
      </c>
      <c r="L134" s="283">
        <f>1932.92+537.84-K134</f>
        <v>1253.6000000000001</v>
      </c>
      <c r="M134" s="425">
        <v>1151</v>
      </c>
      <c r="N134" s="58">
        <f>SUM(J134+K134+L134-M134)</f>
        <v>7427.41</v>
      </c>
      <c r="O134" s="283">
        <f t="shared" si="13"/>
        <v>7927.41</v>
      </c>
      <c r="P134" s="290">
        <v>8540.57</v>
      </c>
      <c r="Q134" s="412" t="s">
        <v>573</v>
      </c>
      <c r="R134" s="299"/>
    </row>
    <row r="135" spans="1:18" ht="15.75" customHeight="1" x14ac:dyDescent="0.3">
      <c r="A135" s="130" t="s">
        <v>547</v>
      </c>
      <c r="B135" s="130"/>
      <c r="C135" s="321" t="s">
        <v>637</v>
      </c>
      <c r="D135" s="21">
        <v>76601</v>
      </c>
      <c r="E135" s="134">
        <v>44515</v>
      </c>
      <c r="F135" s="130" t="s">
        <v>79</v>
      </c>
      <c r="G135" s="190">
        <v>2009</v>
      </c>
      <c r="H135" s="125" t="s">
        <v>21</v>
      </c>
      <c r="I135" s="125" t="s">
        <v>638</v>
      </c>
      <c r="J135" s="283">
        <v>8035.25</v>
      </c>
      <c r="K135" s="283"/>
      <c r="L135" s="283">
        <v>1086.67</v>
      </c>
      <c r="M135" s="425">
        <v>1151</v>
      </c>
      <c r="N135" s="58">
        <f>SUM(J135+K135+L135-M135)</f>
        <v>7970.92</v>
      </c>
      <c r="O135" s="283">
        <f t="shared" si="13"/>
        <v>8470.92</v>
      </c>
      <c r="P135" s="290">
        <v>8457.67</v>
      </c>
      <c r="Q135" s="296" t="s">
        <v>395</v>
      </c>
      <c r="R135" s="299" t="s">
        <v>600</v>
      </c>
    </row>
    <row r="136" spans="1:18" ht="15.75" customHeight="1" x14ac:dyDescent="0.3">
      <c r="A136" s="130" t="s">
        <v>547</v>
      </c>
      <c r="B136" s="130"/>
      <c r="C136" s="321" t="s">
        <v>553</v>
      </c>
      <c r="D136" s="21">
        <v>84992</v>
      </c>
      <c r="E136" s="134">
        <v>44141</v>
      </c>
      <c r="F136" s="130" t="s">
        <v>549</v>
      </c>
      <c r="G136" s="190">
        <v>2012</v>
      </c>
      <c r="H136" s="125" t="s">
        <v>44</v>
      </c>
      <c r="I136" s="125" t="s">
        <v>554</v>
      </c>
      <c r="J136" s="283">
        <v>32570.3</v>
      </c>
      <c r="K136" s="283"/>
      <c r="L136" s="283">
        <v>2467.1799999999998</v>
      </c>
      <c r="M136" s="425">
        <v>921</v>
      </c>
      <c r="N136" s="58">
        <f>SUM(J136+L136-M136)</f>
        <v>34116.479999999996</v>
      </c>
      <c r="O136" s="283">
        <f t="shared" si="13"/>
        <v>34616.479999999996</v>
      </c>
      <c r="P136" s="283">
        <v>30000</v>
      </c>
      <c r="Q136" s="122" t="s">
        <v>555</v>
      </c>
      <c r="R136" s="299"/>
    </row>
    <row r="137" spans="1:18" ht="15.75" customHeight="1" x14ac:dyDescent="0.3">
      <c r="A137" s="130" t="s">
        <v>547</v>
      </c>
      <c r="B137" s="130"/>
      <c r="C137" s="321" t="s">
        <v>563</v>
      </c>
      <c r="D137" s="138">
        <v>101565</v>
      </c>
      <c r="E137" s="134">
        <v>44168</v>
      </c>
      <c r="F137" s="130" t="s">
        <v>15</v>
      </c>
      <c r="G137" s="190">
        <v>2007</v>
      </c>
      <c r="H137" s="125" t="s">
        <v>564</v>
      </c>
      <c r="I137" s="125" t="s">
        <v>565</v>
      </c>
      <c r="J137" s="283">
        <v>17609.95</v>
      </c>
      <c r="K137" s="283"/>
      <c r="L137" s="283">
        <v>16060.68</v>
      </c>
      <c r="M137" s="425">
        <v>1151</v>
      </c>
      <c r="N137" s="58">
        <f>SUM(J137+L137-M137)</f>
        <v>32519.630000000005</v>
      </c>
      <c r="O137" s="283">
        <f t="shared" si="13"/>
        <v>33019.630000000005</v>
      </c>
      <c r="P137" s="283"/>
      <c r="Q137" s="122" t="s">
        <v>364</v>
      </c>
      <c r="R137" s="299"/>
    </row>
    <row r="138" spans="1:18" ht="15.75" customHeight="1" x14ac:dyDescent="0.3">
      <c r="A138" s="130" t="s">
        <v>547</v>
      </c>
      <c r="B138" s="130"/>
      <c r="C138" s="321" t="s">
        <v>599</v>
      </c>
      <c r="D138" s="138">
        <v>73096</v>
      </c>
      <c r="E138" s="134">
        <v>44263</v>
      </c>
      <c r="F138" s="130" t="s">
        <v>416</v>
      </c>
      <c r="G138" s="190">
        <v>2007</v>
      </c>
      <c r="H138" s="125" t="s">
        <v>49</v>
      </c>
      <c r="I138" s="125" t="s">
        <v>60</v>
      </c>
      <c r="J138" s="283">
        <v>8014.35</v>
      </c>
      <c r="K138" s="283"/>
      <c r="L138" s="283">
        <v>1199.3800000000001</v>
      </c>
      <c r="M138" s="425">
        <v>921</v>
      </c>
      <c r="N138" s="58">
        <f t="shared" ref="N138:N160" si="14">SUM(J138+K138+L138-M138)</f>
        <v>8292.73</v>
      </c>
      <c r="O138" s="283">
        <f t="shared" si="13"/>
        <v>8792.73</v>
      </c>
      <c r="P138" s="283">
        <v>9000</v>
      </c>
      <c r="Q138" s="122" t="s">
        <v>364</v>
      </c>
      <c r="R138" s="299" t="s">
        <v>600</v>
      </c>
    </row>
    <row r="139" spans="1:18" ht="15.75" customHeight="1" x14ac:dyDescent="0.3">
      <c r="A139" s="130" t="s">
        <v>547</v>
      </c>
      <c r="B139" s="130"/>
      <c r="C139" s="321" t="s">
        <v>614</v>
      </c>
      <c r="D139" s="138">
        <v>100082</v>
      </c>
      <c r="E139" s="134">
        <v>44479</v>
      </c>
      <c r="F139" s="130" t="s">
        <v>615</v>
      </c>
      <c r="G139" s="190">
        <v>2012</v>
      </c>
      <c r="H139" s="125" t="s">
        <v>49</v>
      </c>
      <c r="I139" s="125" t="s">
        <v>616</v>
      </c>
      <c r="J139" s="283">
        <v>5963.75</v>
      </c>
      <c r="K139" s="283"/>
      <c r="L139" s="283">
        <v>1305.31</v>
      </c>
      <c r="M139" s="425">
        <v>921</v>
      </c>
      <c r="N139" s="58">
        <f t="shared" si="14"/>
        <v>6348.0599999999995</v>
      </c>
      <c r="O139" s="283">
        <f t="shared" si="13"/>
        <v>6848.0599999999995</v>
      </c>
      <c r="P139" s="283"/>
      <c r="Q139" s="122" t="s">
        <v>364</v>
      </c>
      <c r="R139" s="299" t="s">
        <v>617</v>
      </c>
    </row>
    <row r="140" spans="1:18" ht="15.75" customHeight="1" x14ac:dyDescent="0.3">
      <c r="A140" s="130" t="s">
        <v>547</v>
      </c>
      <c r="B140" s="130"/>
      <c r="C140" s="321" t="s">
        <v>618</v>
      </c>
      <c r="D140" s="138">
        <v>56614</v>
      </c>
      <c r="E140" s="134">
        <v>44479</v>
      </c>
      <c r="F140" s="130" t="s">
        <v>75</v>
      </c>
      <c r="G140" s="190">
        <v>2008</v>
      </c>
      <c r="H140" s="125" t="s">
        <v>77</v>
      </c>
      <c r="I140" s="125" t="s">
        <v>82</v>
      </c>
      <c r="J140" s="283">
        <v>10578.7</v>
      </c>
      <c r="K140" s="283"/>
      <c r="L140" s="283">
        <v>1156.0999999999999</v>
      </c>
      <c r="M140" s="425">
        <v>921</v>
      </c>
      <c r="N140" s="58">
        <f t="shared" si="14"/>
        <v>10813.800000000001</v>
      </c>
      <c r="O140" s="283">
        <f t="shared" si="13"/>
        <v>11313.800000000001</v>
      </c>
      <c r="P140" s="283"/>
      <c r="Q140" s="295" t="s">
        <v>364</v>
      </c>
      <c r="R140" s="299" t="s">
        <v>73</v>
      </c>
    </row>
    <row r="141" spans="1:18" ht="15.75" customHeight="1" x14ac:dyDescent="0.3">
      <c r="A141" s="130" t="s">
        <v>547</v>
      </c>
      <c r="B141" s="130"/>
      <c r="C141" s="321" t="s">
        <v>634</v>
      </c>
      <c r="D141" s="138">
        <v>118065</v>
      </c>
      <c r="E141" s="134">
        <v>44515</v>
      </c>
      <c r="F141" s="130" t="s">
        <v>81</v>
      </c>
      <c r="G141" s="190">
        <v>2013</v>
      </c>
      <c r="H141" s="125" t="s">
        <v>77</v>
      </c>
      <c r="I141" s="125" t="s">
        <v>138</v>
      </c>
      <c r="J141" s="283">
        <v>13531.1</v>
      </c>
      <c r="K141" s="283"/>
      <c r="L141" s="283">
        <v>1368.48</v>
      </c>
      <c r="M141" s="425">
        <v>921</v>
      </c>
      <c r="N141" s="58">
        <f t="shared" si="14"/>
        <v>13978.58</v>
      </c>
      <c r="O141" s="283">
        <f t="shared" si="13"/>
        <v>14478.58</v>
      </c>
      <c r="P141" s="283"/>
      <c r="Q141" s="295" t="s">
        <v>364</v>
      </c>
      <c r="R141" s="299" t="s">
        <v>73</v>
      </c>
    </row>
    <row r="142" spans="1:18" ht="15.75" customHeight="1" x14ac:dyDescent="0.3">
      <c r="A142" s="130" t="s">
        <v>547</v>
      </c>
      <c r="B142" s="130"/>
      <c r="C142" s="321" t="s">
        <v>639</v>
      </c>
      <c r="D142" s="138">
        <v>74034</v>
      </c>
      <c r="E142" s="134">
        <v>44515</v>
      </c>
      <c r="F142" s="130" t="s">
        <v>88</v>
      </c>
      <c r="G142" s="190">
        <v>2010</v>
      </c>
      <c r="H142" s="125" t="s">
        <v>16</v>
      </c>
      <c r="I142" s="125" t="s">
        <v>17</v>
      </c>
      <c r="J142" s="283">
        <v>10221.4</v>
      </c>
      <c r="K142" s="283"/>
      <c r="L142" s="283">
        <v>1089.82</v>
      </c>
      <c r="M142" s="425">
        <v>921</v>
      </c>
      <c r="N142" s="58">
        <f t="shared" si="14"/>
        <v>10390.219999999999</v>
      </c>
      <c r="O142" s="283">
        <f t="shared" si="13"/>
        <v>10890.22</v>
      </c>
      <c r="P142" s="283"/>
      <c r="Q142" s="295" t="s">
        <v>311</v>
      </c>
      <c r="R142" s="299" t="s">
        <v>640</v>
      </c>
    </row>
    <row r="143" spans="1:18" ht="15.75" customHeight="1" x14ac:dyDescent="0.3">
      <c r="A143" s="130" t="s">
        <v>547</v>
      </c>
      <c r="B143" s="130"/>
      <c r="C143" s="321" t="s">
        <v>641</v>
      </c>
      <c r="D143" s="138">
        <v>60307</v>
      </c>
      <c r="E143" s="134">
        <v>44515</v>
      </c>
      <c r="F143" s="130" t="s">
        <v>88</v>
      </c>
      <c r="G143" s="190">
        <v>2012</v>
      </c>
      <c r="H143" s="125" t="s">
        <v>16</v>
      </c>
      <c r="I143" s="125" t="s">
        <v>222</v>
      </c>
      <c r="J143" s="283">
        <v>16951.2</v>
      </c>
      <c r="K143" s="283"/>
      <c r="L143" s="283">
        <v>1621.75</v>
      </c>
      <c r="M143" s="425">
        <v>921</v>
      </c>
      <c r="N143" s="58">
        <f t="shared" si="14"/>
        <v>17651.95</v>
      </c>
      <c r="O143" s="283">
        <f t="shared" si="13"/>
        <v>18151.95</v>
      </c>
      <c r="P143" s="283"/>
      <c r="Q143" s="295" t="s">
        <v>311</v>
      </c>
      <c r="R143" s="299" t="s">
        <v>642</v>
      </c>
    </row>
    <row r="144" spans="1:18" ht="15.75" customHeight="1" x14ac:dyDescent="0.3">
      <c r="A144" s="130" t="s">
        <v>547</v>
      </c>
      <c r="B144" s="130"/>
      <c r="C144" s="321" t="s">
        <v>655</v>
      </c>
      <c r="D144" s="138">
        <v>116638</v>
      </c>
      <c r="E144" s="134">
        <v>44545</v>
      </c>
      <c r="F144" s="130" t="s">
        <v>149</v>
      </c>
      <c r="G144" s="190">
        <v>2000</v>
      </c>
      <c r="H144" s="125" t="s">
        <v>29</v>
      </c>
      <c r="I144" s="125" t="s">
        <v>656</v>
      </c>
      <c r="J144" s="283">
        <v>7329</v>
      </c>
      <c r="K144" s="283"/>
      <c r="L144" s="283">
        <v>633.51</v>
      </c>
      <c r="M144" s="425">
        <v>921</v>
      </c>
      <c r="N144" s="58">
        <f t="shared" si="14"/>
        <v>7041.51</v>
      </c>
      <c r="O144" s="283">
        <f t="shared" si="13"/>
        <v>7541.51</v>
      </c>
      <c r="P144" s="283"/>
      <c r="Q144" s="295" t="s">
        <v>364</v>
      </c>
      <c r="R144" s="299" t="s">
        <v>73</v>
      </c>
    </row>
    <row r="145" spans="1:19" ht="15.75" customHeight="1" x14ac:dyDescent="0.3">
      <c r="A145" s="130" t="s">
        <v>547</v>
      </c>
      <c r="B145" s="130"/>
      <c r="C145" s="321" t="s">
        <v>657</v>
      </c>
      <c r="D145" s="138">
        <v>119663</v>
      </c>
      <c r="E145" s="134">
        <v>44545</v>
      </c>
      <c r="F145" s="130" t="s">
        <v>149</v>
      </c>
      <c r="G145" s="190">
        <v>2001</v>
      </c>
      <c r="H145" s="125" t="s">
        <v>29</v>
      </c>
      <c r="I145" s="125" t="s">
        <v>656</v>
      </c>
      <c r="J145" s="283">
        <v>15390</v>
      </c>
      <c r="K145" s="283"/>
      <c r="L145" s="283">
        <v>1083.1600000000001</v>
      </c>
      <c r="M145" s="425">
        <v>921</v>
      </c>
      <c r="N145" s="58">
        <f t="shared" si="14"/>
        <v>15552.16</v>
      </c>
      <c r="O145" s="283">
        <f t="shared" si="13"/>
        <v>16052.16</v>
      </c>
      <c r="P145" s="283"/>
      <c r="Q145" s="295" t="s">
        <v>364</v>
      </c>
      <c r="R145" s="299" t="s">
        <v>658</v>
      </c>
    </row>
    <row r="146" spans="1:19" ht="15.75" customHeight="1" x14ac:dyDescent="0.3">
      <c r="A146" s="263" t="s">
        <v>547</v>
      </c>
      <c r="B146" s="263"/>
      <c r="C146" s="321" t="s">
        <v>667</v>
      </c>
      <c r="D146" s="138">
        <v>86866</v>
      </c>
      <c r="E146" s="134">
        <v>44613</v>
      </c>
      <c r="F146" s="130" t="s">
        <v>178</v>
      </c>
      <c r="G146" s="190">
        <v>2010</v>
      </c>
      <c r="H146" s="125" t="s">
        <v>16</v>
      </c>
      <c r="I146" s="125" t="s">
        <v>17</v>
      </c>
      <c r="J146" s="283">
        <v>9789</v>
      </c>
      <c r="K146" s="283"/>
      <c r="L146" s="283">
        <v>1083.76</v>
      </c>
      <c r="M146" s="425">
        <v>921</v>
      </c>
      <c r="N146" s="58">
        <f t="shared" si="14"/>
        <v>9951.76</v>
      </c>
      <c r="O146" s="283">
        <f t="shared" si="13"/>
        <v>10451.76</v>
      </c>
      <c r="P146" s="283"/>
      <c r="Q146" s="295" t="s">
        <v>311</v>
      </c>
      <c r="R146" s="299" t="s">
        <v>668</v>
      </c>
    </row>
    <row r="147" spans="1:19" ht="15.75" customHeight="1" x14ac:dyDescent="0.3">
      <c r="A147" s="263" t="s">
        <v>547</v>
      </c>
      <c r="B147" s="263"/>
      <c r="C147" s="321" t="s">
        <v>673</v>
      </c>
      <c r="D147" s="138">
        <v>76670</v>
      </c>
      <c r="E147" s="134">
        <v>44613</v>
      </c>
      <c r="F147" s="130" t="s">
        <v>178</v>
      </c>
      <c r="G147" s="190">
        <v>2008</v>
      </c>
      <c r="H147" s="125" t="s">
        <v>44</v>
      </c>
      <c r="I147" s="125" t="s">
        <v>45</v>
      </c>
      <c r="J147" s="283">
        <v>11138</v>
      </c>
      <c r="K147" s="283"/>
      <c r="L147" s="283">
        <v>1394.95</v>
      </c>
      <c r="M147" s="425">
        <v>921</v>
      </c>
      <c r="N147" s="58">
        <f t="shared" si="14"/>
        <v>11611.95</v>
      </c>
      <c r="O147" s="283">
        <f t="shared" si="13"/>
        <v>12111.95</v>
      </c>
      <c r="P147" s="283"/>
      <c r="Q147" s="295" t="s">
        <v>311</v>
      </c>
      <c r="R147" s="299" t="s">
        <v>600</v>
      </c>
    </row>
    <row r="148" spans="1:19" ht="15.75" customHeight="1" x14ac:dyDescent="0.3">
      <c r="A148" s="263" t="s">
        <v>547</v>
      </c>
      <c r="B148" s="263"/>
      <c r="C148" s="321" t="s">
        <v>677</v>
      </c>
      <c r="D148" s="138">
        <v>32970</v>
      </c>
      <c r="E148" s="134">
        <v>44613</v>
      </c>
      <c r="F148" s="130" t="s">
        <v>178</v>
      </c>
      <c r="G148" s="190">
        <v>2012</v>
      </c>
      <c r="H148" s="125" t="s">
        <v>77</v>
      </c>
      <c r="I148" s="125" t="s">
        <v>78</v>
      </c>
      <c r="J148" s="283">
        <v>10168</v>
      </c>
      <c r="K148" s="283"/>
      <c r="L148" s="283">
        <v>1715.69</v>
      </c>
      <c r="M148" s="425">
        <v>921</v>
      </c>
      <c r="N148" s="58">
        <f t="shared" si="14"/>
        <v>10962.69</v>
      </c>
      <c r="O148" s="283">
        <f t="shared" si="13"/>
        <v>11462.69</v>
      </c>
      <c r="P148" s="283"/>
      <c r="Q148" s="295" t="s">
        <v>311</v>
      </c>
      <c r="R148" s="299" t="s">
        <v>678</v>
      </c>
    </row>
    <row r="149" spans="1:19" ht="15.75" customHeight="1" x14ac:dyDescent="0.3">
      <c r="A149" s="263" t="s">
        <v>547</v>
      </c>
      <c r="B149" s="263"/>
      <c r="C149" s="321" t="s">
        <v>679</v>
      </c>
      <c r="D149" s="138">
        <v>73943</v>
      </c>
      <c r="E149" s="134">
        <v>44613</v>
      </c>
      <c r="F149" s="130" t="s">
        <v>680</v>
      </c>
      <c r="G149" s="190">
        <v>2014</v>
      </c>
      <c r="H149" s="125" t="s">
        <v>29</v>
      </c>
      <c r="I149" s="125" t="s">
        <v>230</v>
      </c>
      <c r="J149" s="283">
        <v>10167</v>
      </c>
      <c r="K149" s="283"/>
      <c r="L149" s="283">
        <v>1868.75</v>
      </c>
      <c r="M149" s="425">
        <v>921</v>
      </c>
      <c r="N149" s="58">
        <f t="shared" si="14"/>
        <v>11114.75</v>
      </c>
      <c r="O149" s="283">
        <f t="shared" si="13"/>
        <v>11614.75</v>
      </c>
      <c r="P149" s="283"/>
      <c r="Q149" s="295" t="s">
        <v>311</v>
      </c>
      <c r="R149" s="121" t="s">
        <v>678</v>
      </c>
    </row>
    <row r="150" spans="1:19" ht="15.75" customHeight="1" x14ac:dyDescent="0.3">
      <c r="A150" s="130" t="s">
        <v>547</v>
      </c>
      <c r="B150" s="130"/>
      <c r="C150" s="321" t="s">
        <v>712</v>
      </c>
      <c r="D150" s="138">
        <v>147440</v>
      </c>
      <c r="E150" s="134">
        <v>44633</v>
      </c>
      <c r="F150" s="130" t="s">
        <v>200</v>
      </c>
      <c r="G150" s="190">
        <v>2008</v>
      </c>
      <c r="H150" s="125" t="s">
        <v>49</v>
      </c>
      <c r="I150" s="125" t="s">
        <v>713</v>
      </c>
      <c r="J150" s="282">
        <v>6407</v>
      </c>
      <c r="K150" s="282"/>
      <c r="L150" s="282">
        <v>1352.75</v>
      </c>
      <c r="M150" s="425">
        <v>921</v>
      </c>
      <c r="N150" s="58">
        <f t="shared" si="14"/>
        <v>6838.75</v>
      </c>
      <c r="O150" s="283">
        <f t="shared" si="13"/>
        <v>7338.75</v>
      </c>
      <c r="P150" s="283"/>
      <c r="Q150" s="295" t="s">
        <v>311</v>
      </c>
      <c r="R150" s="12" t="s">
        <v>600</v>
      </c>
    </row>
    <row r="151" spans="1:19" ht="15.75" customHeight="1" x14ac:dyDescent="0.3">
      <c r="A151" s="130" t="s">
        <v>547</v>
      </c>
      <c r="B151" s="130"/>
      <c r="C151" s="321" t="s">
        <v>720</v>
      </c>
      <c r="D151" s="21">
        <v>87915</v>
      </c>
      <c r="E151" s="13">
        <v>44633</v>
      </c>
      <c r="F151" s="5" t="s">
        <v>211</v>
      </c>
      <c r="G151" s="316">
        <v>2002</v>
      </c>
      <c r="H151" s="122" t="s">
        <v>29</v>
      </c>
      <c r="I151" s="122" t="s">
        <v>721</v>
      </c>
      <c r="J151" s="282">
        <v>6560</v>
      </c>
      <c r="K151" s="282"/>
      <c r="L151" s="282">
        <v>1144.25</v>
      </c>
      <c r="M151" s="425">
        <v>921</v>
      </c>
      <c r="N151" s="58">
        <f t="shared" si="14"/>
        <v>6783.25</v>
      </c>
      <c r="O151" s="283">
        <f t="shared" ref="O151:O160" si="15">SUM(N151+500)</f>
        <v>7283.25</v>
      </c>
      <c r="P151" s="283"/>
      <c r="Q151" s="295" t="s">
        <v>311</v>
      </c>
      <c r="R151" s="12" t="s">
        <v>678</v>
      </c>
    </row>
    <row r="152" spans="1:19" ht="15.75" customHeight="1" x14ac:dyDescent="0.3">
      <c r="A152" s="130" t="s">
        <v>547</v>
      </c>
      <c r="B152" s="130"/>
      <c r="C152" s="321" t="s">
        <v>722</v>
      </c>
      <c r="D152" s="138">
        <v>132675</v>
      </c>
      <c r="E152" s="134">
        <v>44633</v>
      </c>
      <c r="F152" s="130" t="s">
        <v>200</v>
      </c>
      <c r="G152" s="190">
        <v>2013</v>
      </c>
      <c r="H152" s="125" t="s">
        <v>77</v>
      </c>
      <c r="I152" s="125" t="s">
        <v>138</v>
      </c>
      <c r="J152" s="282">
        <v>15975</v>
      </c>
      <c r="K152" s="282"/>
      <c r="L152" s="282">
        <v>648.6</v>
      </c>
      <c r="M152" s="425">
        <v>921</v>
      </c>
      <c r="N152" s="58">
        <f t="shared" si="14"/>
        <v>15702.599999999999</v>
      </c>
      <c r="O152" s="283">
        <f t="shared" si="15"/>
        <v>16202.599999999999</v>
      </c>
      <c r="P152" s="283"/>
      <c r="Q152" s="295" t="s">
        <v>311</v>
      </c>
      <c r="R152" s="12" t="s">
        <v>617</v>
      </c>
    </row>
    <row r="153" spans="1:19" ht="15.75" customHeight="1" x14ac:dyDescent="0.3">
      <c r="A153" s="130" t="s">
        <v>547</v>
      </c>
      <c r="B153" s="130" t="s">
        <v>1583</v>
      </c>
      <c r="C153" s="321" t="s">
        <v>731</v>
      </c>
      <c r="D153" s="138">
        <v>110694</v>
      </c>
      <c r="E153" s="134">
        <v>44633</v>
      </c>
      <c r="F153" s="130" t="s">
        <v>211</v>
      </c>
      <c r="G153" s="190">
        <v>1997</v>
      </c>
      <c r="H153" s="125" t="s">
        <v>29</v>
      </c>
      <c r="I153" s="125" t="s">
        <v>732</v>
      </c>
      <c r="J153" s="282">
        <v>6494</v>
      </c>
      <c r="K153" s="282"/>
      <c r="L153" s="282">
        <f>1512.49+60</f>
        <v>1572.49</v>
      </c>
      <c r="M153" s="425">
        <v>921</v>
      </c>
      <c r="N153" s="58">
        <f t="shared" si="14"/>
        <v>7145.49</v>
      </c>
      <c r="O153" s="283">
        <f t="shared" si="15"/>
        <v>7645.49</v>
      </c>
      <c r="P153" s="283"/>
      <c r="Q153" s="295" t="s">
        <v>311</v>
      </c>
      <c r="R153" s="67" t="s">
        <v>1606</v>
      </c>
      <c r="S153" s="12"/>
    </row>
    <row r="154" spans="1:19" ht="15.75" customHeight="1" x14ac:dyDescent="0.3">
      <c r="A154" s="5" t="s">
        <v>547</v>
      </c>
      <c r="B154" s="5"/>
      <c r="C154" s="321" t="s">
        <v>733</v>
      </c>
      <c r="D154" s="135">
        <v>98132</v>
      </c>
      <c r="E154" s="134">
        <v>44633</v>
      </c>
      <c r="F154" s="130" t="s">
        <v>211</v>
      </c>
      <c r="G154" s="190">
        <v>2009</v>
      </c>
      <c r="H154" s="125" t="s">
        <v>123</v>
      </c>
      <c r="I154" s="125" t="s">
        <v>734</v>
      </c>
      <c r="J154" s="282">
        <v>6882</v>
      </c>
      <c r="K154" s="282"/>
      <c r="L154" s="282">
        <v>2427.34</v>
      </c>
      <c r="M154" s="425">
        <v>1151</v>
      </c>
      <c r="N154" s="283">
        <f t="shared" si="14"/>
        <v>8158.34</v>
      </c>
      <c r="O154" s="283">
        <f t="shared" si="15"/>
        <v>8658.34</v>
      </c>
      <c r="P154" s="283"/>
      <c r="Q154" s="295" t="s">
        <v>311</v>
      </c>
      <c r="R154" s="12" t="s">
        <v>668</v>
      </c>
    </row>
    <row r="155" spans="1:19" ht="15.75" customHeight="1" x14ac:dyDescent="0.3">
      <c r="A155" s="146" t="s">
        <v>547</v>
      </c>
      <c r="B155" s="146"/>
      <c r="C155" s="329" t="s">
        <v>756</v>
      </c>
      <c r="D155" s="135">
        <v>108577</v>
      </c>
      <c r="E155" s="134">
        <v>44646</v>
      </c>
      <c r="F155" s="130" t="s">
        <v>514</v>
      </c>
      <c r="G155" s="190">
        <v>2013</v>
      </c>
      <c r="H155" s="125" t="s">
        <v>21</v>
      </c>
      <c r="I155" s="125" t="s">
        <v>156</v>
      </c>
      <c r="J155" s="71">
        <v>11248.55</v>
      </c>
      <c r="K155" s="71"/>
      <c r="L155" s="71">
        <v>1976.53</v>
      </c>
      <c r="M155" s="429">
        <v>1151</v>
      </c>
      <c r="N155" s="283">
        <f t="shared" si="14"/>
        <v>12074.08</v>
      </c>
      <c r="O155" s="283">
        <f t="shared" si="15"/>
        <v>12574.08</v>
      </c>
      <c r="P155" s="62"/>
      <c r="Q155" s="216" t="s">
        <v>311</v>
      </c>
      <c r="R155" s="12" t="s">
        <v>757</v>
      </c>
    </row>
    <row r="156" spans="1:19" ht="15.75" customHeight="1" x14ac:dyDescent="0.3">
      <c r="A156" s="146" t="s">
        <v>547</v>
      </c>
      <c r="B156" s="146"/>
      <c r="C156" s="329" t="s">
        <v>771</v>
      </c>
      <c r="D156" s="23">
        <v>86142</v>
      </c>
      <c r="E156" s="16">
        <v>44673</v>
      </c>
      <c r="F156" s="5" t="s">
        <v>766</v>
      </c>
      <c r="G156" s="268">
        <v>2009</v>
      </c>
      <c r="H156" s="25" t="s">
        <v>123</v>
      </c>
      <c r="I156" s="25" t="s">
        <v>173</v>
      </c>
      <c r="J156" s="11">
        <v>7330.5</v>
      </c>
      <c r="K156" s="11"/>
      <c r="L156" s="11">
        <v>724.5</v>
      </c>
      <c r="M156" s="430">
        <v>1151</v>
      </c>
      <c r="N156" s="283">
        <f t="shared" si="14"/>
        <v>6904</v>
      </c>
      <c r="O156" s="11">
        <f t="shared" si="15"/>
        <v>7404</v>
      </c>
      <c r="P156" s="11"/>
      <c r="Q156" s="278" t="s">
        <v>311</v>
      </c>
      <c r="R156" s="15"/>
      <c r="S156" s="12"/>
    </row>
    <row r="157" spans="1:19" ht="15.75" customHeight="1" x14ac:dyDescent="0.3">
      <c r="A157" s="25" t="s">
        <v>547</v>
      </c>
      <c r="B157" s="118"/>
      <c r="C157" s="328" t="s">
        <v>776</v>
      </c>
      <c r="D157" s="274">
        <v>101105</v>
      </c>
      <c r="E157" s="262">
        <v>44718</v>
      </c>
      <c r="F157" s="410" t="s">
        <v>277</v>
      </c>
      <c r="G157" s="260" t="s">
        <v>280</v>
      </c>
      <c r="H157" s="260" t="s">
        <v>77</v>
      </c>
      <c r="I157" s="260" t="s">
        <v>448</v>
      </c>
      <c r="J157" s="11">
        <v>12707</v>
      </c>
      <c r="K157" s="11"/>
      <c r="L157" s="11">
        <v>677.93</v>
      </c>
      <c r="M157" s="430">
        <v>921</v>
      </c>
      <c r="N157" s="283">
        <f t="shared" si="14"/>
        <v>12463.93</v>
      </c>
      <c r="O157" s="11">
        <f t="shared" si="15"/>
        <v>12963.93</v>
      </c>
      <c r="P157" s="12"/>
      <c r="Q157" s="115" t="s">
        <v>311</v>
      </c>
      <c r="R157" s="12"/>
      <c r="S157" s="12"/>
    </row>
    <row r="158" spans="1:19" ht="15.75" customHeight="1" x14ac:dyDescent="0.3">
      <c r="A158" s="25" t="s">
        <v>547</v>
      </c>
      <c r="B158" s="118"/>
      <c r="C158" s="327" t="s">
        <v>777</v>
      </c>
      <c r="D158" s="274">
        <v>79602</v>
      </c>
      <c r="E158" s="262">
        <v>44718</v>
      </c>
      <c r="F158" s="410" t="s">
        <v>277</v>
      </c>
      <c r="G158" s="260" t="s">
        <v>287</v>
      </c>
      <c r="H158" s="260" t="s">
        <v>37</v>
      </c>
      <c r="I158" s="260" t="s">
        <v>63</v>
      </c>
      <c r="J158" s="11">
        <f>10939+454</f>
        <v>11393</v>
      </c>
      <c r="K158" s="11"/>
      <c r="L158" s="11">
        <f>986.14+200+1176.32</f>
        <v>2362.46</v>
      </c>
      <c r="M158" s="430">
        <v>1151</v>
      </c>
      <c r="N158" s="283">
        <f t="shared" si="14"/>
        <v>12604.46</v>
      </c>
      <c r="O158" s="11">
        <f t="shared" si="15"/>
        <v>13104.46</v>
      </c>
      <c r="P158" s="12"/>
      <c r="Q158" s="115" t="s">
        <v>311</v>
      </c>
      <c r="R158" s="12"/>
      <c r="S158" s="12"/>
    </row>
    <row r="159" spans="1:19" ht="15.75" customHeight="1" x14ac:dyDescent="0.3">
      <c r="A159" s="25" t="s">
        <v>547</v>
      </c>
      <c r="B159" s="118"/>
      <c r="C159" s="327" t="s">
        <v>780</v>
      </c>
      <c r="D159" s="274">
        <v>53956</v>
      </c>
      <c r="E159" s="262">
        <v>44718</v>
      </c>
      <c r="F159" s="410" t="s">
        <v>277</v>
      </c>
      <c r="G159" s="260" t="s">
        <v>508</v>
      </c>
      <c r="H159" s="260" t="s">
        <v>212</v>
      </c>
      <c r="I159" s="260" t="s">
        <v>247</v>
      </c>
      <c r="J159" s="11">
        <v>7124</v>
      </c>
      <c r="K159" s="11"/>
      <c r="L159">
        <v>858.59</v>
      </c>
      <c r="M159" s="53">
        <v>1151</v>
      </c>
      <c r="N159" s="283">
        <f t="shared" si="14"/>
        <v>6831.59</v>
      </c>
      <c r="O159" s="11">
        <f t="shared" si="15"/>
        <v>7331.59</v>
      </c>
      <c r="Q159" s="108" t="s">
        <v>311</v>
      </c>
    </row>
    <row r="160" spans="1:19" ht="15.75" customHeight="1" x14ac:dyDescent="0.3">
      <c r="A160" s="25" t="s">
        <v>547</v>
      </c>
      <c r="B160" s="118"/>
      <c r="C160" s="327" t="s">
        <v>782</v>
      </c>
      <c r="D160" s="274">
        <v>110846</v>
      </c>
      <c r="E160" s="262">
        <v>44718</v>
      </c>
      <c r="F160" s="410" t="s">
        <v>277</v>
      </c>
      <c r="G160" s="260" t="s">
        <v>280</v>
      </c>
      <c r="H160" s="260" t="s">
        <v>212</v>
      </c>
      <c r="I160" s="260" t="s">
        <v>247</v>
      </c>
      <c r="J160" s="11">
        <v>8787.1</v>
      </c>
      <c r="K160" s="11"/>
      <c r="L160">
        <f>465.75+469.31+337.51</f>
        <v>1272.57</v>
      </c>
      <c r="M160" s="53">
        <v>1151</v>
      </c>
      <c r="N160" s="283">
        <f t="shared" si="14"/>
        <v>8908.67</v>
      </c>
      <c r="O160" s="11">
        <f t="shared" si="15"/>
        <v>9408.67</v>
      </c>
      <c r="Q160" s="108" t="s">
        <v>311</v>
      </c>
    </row>
    <row r="161" spans="1:19" ht="15.75" customHeight="1" x14ac:dyDescent="0.3">
      <c r="A161" t="s">
        <v>1626</v>
      </c>
      <c r="C161" s="371" t="s">
        <v>1625</v>
      </c>
      <c r="G161" t="s">
        <v>278</v>
      </c>
      <c r="H161" t="s">
        <v>29</v>
      </c>
      <c r="I161" t="s">
        <v>665</v>
      </c>
      <c r="J161" s="53">
        <v>11669.85</v>
      </c>
      <c r="L161">
        <v>465.75</v>
      </c>
      <c r="M161" s="53">
        <v>921</v>
      </c>
      <c r="N161" s="58">
        <f t="shared" ref="N161:N163" si="16">SUM(J161+K161+L161-M161)</f>
        <v>11214.6</v>
      </c>
      <c r="Q161" t="s">
        <v>1438</v>
      </c>
    </row>
    <row r="162" spans="1:19" ht="15.75" customHeight="1" x14ac:dyDescent="0.3">
      <c r="A162" t="s">
        <v>1626</v>
      </c>
      <c r="C162" s="392" t="s">
        <v>1627</v>
      </c>
      <c r="F162" s="393"/>
      <c r="G162" s="114" t="s">
        <v>278</v>
      </c>
      <c r="H162" s="114" t="s">
        <v>49</v>
      </c>
      <c r="I162" s="114" t="s">
        <v>511</v>
      </c>
      <c r="J162" s="11">
        <v>8030.1</v>
      </c>
      <c r="K162" s="53"/>
      <c r="L162" s="11">
        <v>649.29</v>
      </c>
      <c r="M162" s="53">
        <v>921</v>
      </c>
      <c r="N162" s="283">
        <f t="shared" si="16"/>
        <v>7758.3899999999994</v>
      </c>
      <c r="O162" s="11"/>
      <c r="Q162" t="s">
        <v>1438</v>
      </c>
    </row>
    <row r="163" spans="1:19" ht="15.75" customHeight="1" x14ac:dyDescent="0.3">
      <c r="A163" t="s">
        <v>1626</v>
      </c>
      <c r="C163" s="371" t="s">
        <v>1628</v>
      </c>
      <c r="F163" s="393"/>
      <c r="G163" s="114" t="s">
        <v>278</v>
      </c>
      <c r="H163" s="114" t="s">
        <v>16</v>
      </c>
      <c r="I163" s="114" t="s">
        <v>1629</v>
      </c>
      <c r="J163" s="11">
        <v>13169.45</v>
      </c>
      <c r="K163" s="53"/>
      <c r="L163" s="11">
        <v>727.7</v>
      </c>
      <c r="M163" s="53">
        <v>921</v>
      </c>
      <c r="N163" s="283">
        <f t="shared" si="16"/>
        <v>12976.150000000001</v>
      </c>
      <c r="O163" s="11"/>
      <c r="Q163" s="108" t="s">
        <v>1630</v>
      </c>
    </row>
    <row r="164" spans="1:19" ht="15.75" customHeight="1" x14ac:dyDescent="0.3">
      <c r="A164" s="249" t="s">
        <v>659</v>
      </c>
      <c r="C164" s="371" t="s">
        <v>1575</v>
      </c>
      <c r="G164" s="114" t="s">
        <v>278</v>
      </c>
      <c r="H164" s="114" t="s">
        <v>96</v>
      </c>
      <c r="I164" s="114" t="s">
        <v>241</v>
      </c>
      <c r="J164" s="53">
        <v>7304.35</v>
      </c>
      <c r="L164">
        <v>383.99</v>
      </c>
      <c r="M164" s="53">
        <v>921</v>
      </c>
      <c r="N164" s="58">
        <f t="shared" ref="N164" si="17">SUM(J164+K164+L164-M164)</f>
        <v>6767.34</v>
      </c>
      <c r="O164" s="284">
        <f t="shared" ref="O164" si="18">SUM(N164+500)</f>
        <v>7267.34</v>
      </c>
      <c r="Q164" t="s">
        <v>1630</v>
      </c>
      <c r="R164" t="s">
        <v>1639</v>
      </c>
    </row>
    <row r="165" spans="1:19" ht="15.75" customHeight="1" x14ac:dyDescent="0.3">
      <c r="A165" s="249" t="s">
        <v>659</v>
      </c>
      <c r="C165" s="371" t="s">
        <v>1576</v>
      </c>
      <c r="G165" s="114" t="s">
        <v>508</v>
      </c>
      <c r="H165" s="114" t="s">
        <v>29</v>
      </c>
      <c r="I165" s="114" t="s">
        <v>217</v>
      </c>
      <c r="J165" s="53">
        <v>9192.65</v>
      </c>
      <c r="L165">
        <v>482.23</v>
      </c>
      <c r="M165" s="53">
        <v>921</v>
      </c>
      <c r="N165" s="58">
        <f t="shared" ref="N165" si="19">SUM(J165+K165+L165-M165)</f>
        <v>8753.8799999999992</v>
      </c>
      <c r="O165" s="284">
        <f t="shared" ref="O165" si="20">SUM(N165+500)</f>
        <v>9253.8799999999992</v>
      </c>
      <c r="Q165" t="s">
        <v>1613</v>
      </c>
      <c r="R165" t="s">
        <v>1624</v>
      </c>
    </row>
    <row r="166" spans="1:19" ht="15.75" customHeight="1" x14ac:dyDescent="0.3">
      <c r="C166" s="331"/>
      <c r="D166" s="137"/>
      <c r="E166" s="43"/>
      <c r="G166" s="182"/>
      <c r="H166" s="182"/>
      <c r="I166" s="182"/>
      <c r="J166" s="11"/>
      <c r="K166" s="11"/>
      <c r="N166" s="11"/>
      <c r="O166" s="11"/>
    </row>
    <row r="167" spans="1:19" ht="15.75" customHeight="1" x14ac:dyDescent="0.3">
      <c r="C167" s="331"/>
      <c r="D167" s="137"/>
      <c r="E167" s="43"/>
      <c r="G167" s="182"/>
      <c r="H167" s="182"/>
      <c r="I167" s="182"/>
      <c r="J167" s="11"/>
      <c r="K167" s="11"/>
      <c r="N167" s="11"/>
      <c r="O167" s="11"/>
    </row>
    <row r="168" spans="1:19" ht="15.75" customHeight="1" x14ac:dyDescent="0.3">
      <c r="C168" s="332"/>
    </row>
    <row r="169" spans="1:19" ht="15.75" customHeight="1" x14ac:dyDescent="0.35">
      <c r="A169" s="159" t="s">
        <v>1226</v>
      </c>
      <c r="B169" s="159"/>
      <c r="C169" s="332"/>
    </row>
    <row r="170" spans="1:19" ht="15.75" customHeight="1" x14ac:dyDescent="0.3">
      <c r="A170" s="5" t="s">
        <v>547</v>
      </c>
      <c r="B170" s="5"/>
      <c r="C170" s="333" t="s">
        <v>561</v>
      </c>
      <c r="D170" s="21">
        <v>90854</v>
      </c>
      <c r="E170" s="13">
        <v>44168</v>
      </c>
      <c r="F170" s="5" t="s">
        <v>562</v>
      </c>
      <c r="G170" s="190">
        <v>2013</v>
      </c>
      <c r="H170" s="125" t="s">
        <v>29</v>
      </c>
      <c r="I170" s="125" t="s">
        <v>281</v>
      </c>
      <c r="J170" s="58">
        <v>10778.95</v>
      </c>
      <c r="K170" s="58"/>
      <c r="L170" s="58">
        <v>1470.15</v>
      </c>
      <c r="M170" s="58"/>
      <c r="N170" s="58">
        <f t="shared" ref="N170:N182" si="21">SUM(J170+L170-M170)</f>
        <v>12249.1</v>
      </c>
      <c r="O170" s="58">
        <f t="shared" ref="O170:O179" si="22">SUM(N170+500)</f>
        <v>12749.1</v>
      </c>
      <c r="P170" s="58">
        <v>11500</v>
      </c>
      <c r="Q170" s="125" t="s">
        <v>336</v>
      </c>
      <c r="R170" t="s">
        <v>1228</v>
      </c>
    </row>
    <row r="171" spans="1:19" ht="15.75" customHeight="1" x14ac:dyDescent="0.3">
      <c r="A171" s="5" t="s">
        <v>547</v>
      </c>
      <c r="B171" s="5"/>
      <c r="C171" s="333" t="s">
        <v>566</v>
      </c>
      <c r="D171" s="21">
        <v>87811</v>
      </c>
      <c r="E171" s="13">
        <v>44190</v>
      </c>
      <c r="F171" s="5" t="s">
        <v>32</v>
      </c>
      <c r="G171" s="190">
        <v>2012</v>
      </c>
      <c r="H171" s="125" t="s">
        <v>29</v>
      </c>
      <c r="I171" s="125" t="s">
        <v>341</v>
      </c>
      <c r="J171" s="58">
        <v>8510</v>
      </c>
      <c r="K171" s="58"/>
      <c r="L171" s="58">
        <v>2013.01</v>
      </c>
      <c r="M171" s="58"/>
      <c r="N171" s="58">
        <f t="shared" si="21"/>
        <v>10523.01</v>
      </c>
      <c r="O171" s="58">
        <f t="shared" si="22"/>
        <v>11023.01</v>
      </c>
      <c r="P171" s="58">
        <v>10523.01</v>
      </c>
      <c r="Q171" s="125" t="s">
        <v>573</v>
      </c>
      <c r="R171" t="s">
        <v>1229</v>
      </c>
      <c r="S171" t="s">
        <v>1230</v>
      </c>
    </row>
    <row r="172" spans="1:19" ht="15.75" customHeight="1" x14ac:dyDescent="0.3">
      <c r="A172" s="5" t="s">
        <v>547</v>
      </c>
      <c r="B172" s="5"/>
      <c r="C172" s="333" t="s">
        <v>577</v>
      </c>
      <c r="D172" s="21">
        <v>70687</v>
      </c>
      <c r="E172" s="13">
        <v>44213</v>
      </c>
      <c r="F172" s="5" t="s">
        <v>48</v>
      </c>
      <c r="G172" s="190">
        <v>2011</v>
      </c>
      <c r="H172" s="125" t="s">
        <v>21</v>
      </c>
      <c r="I172" s="125" t="s">
        <v>84</v>
      </c>
      <c r="J172" s="58">
        <v>8669.85</v>
      </c>
      <c r="K172" s="58"/>
      <c r="L172" s="58">
        <v>1479.65</v>
      </c>
      <c r="M172" s="58"/>
      <c r="N172" s="58">
        <f t="shared" si="21"/>
        <v>10149.5</v>
      </c>
      <c r="O172" s="58">
        <f t="shared" si="22"/>
        <v>10649.5</v>
      </c>
      <c r="P172" s="58">
        <v>10149.5</v>
      </c>
      <c r="Q172" s="125" t="s">
        <v>342</v>
      </c>
      <c r="R172" t="s">
        <v>1233</v>
      </c>
      <c r="S172" t="s">
        <v>1230</v>
      </c>
    </row>
    <row r="173" spans="1:19" ht="15.75" customHeight="1" x14ac:dyDescent="0.3">
      <c r="A173" s="5" t="s">
        <v>547</v>
      </c>
      <c r="B173" s="5"/>
      <c r="C173" s="333" t="s">
        <v>608</v>
      </c>
      <c r="D173" s="21">
        <v>118336</v>
      </c>
      <c r="E173" s="13">
        <v>44460</v>
      </c>
      <c r="F173" s="5" t="s">
        <v>470</v>
      </c>
      <c r="G173" s="190">
        <v>2009</v>
      </c>
      <c r="H173" s="125" t="s">
        <v>44</v>
      </c>
      <c r="I173" s="125" t="s">
        <v>609</v>
      </c>
      <c r="J173" s="58">
        <v>9523.7999999999993</v>
      </c>
      <c r="K173" s="58"/>
      <c r="L173" s="58">
        <v>1207.06</v>
      </c>
      <c r="M173" s="58"/>
      <c r="N173" s="58">
        <f t="shared" si="21"/>
        <v>10730.859999999999</v>
      </c>
      <c r="O173" s="58">
        <f t="shared" si="22"/>
        <v>11230.859999999999</v>
      </c>
      <c r="P173" s="58">
        <v>11230.86</v>
      </c>
      <c r="Q173" s="125" t="s">
        <v>336</v>
      </c>
      <c r="R173" t="s">
        <v>1235</v>
      </c>
    </row>
    <row r="174" spans="1:19" ht="15.75" customHeight="1" x14ac:dyDescent="0.3">
      <c r="A174" s="5" t="s">
        <v>547</v>
      </c>
      <c r="B174" s="5"/>
      <c r="C174" s="333" t="s">
        <v>621</v>
      </c>
      <c r="D174" s="21">
        <v>80820</v>
      </c>
      <c r="E174" s="13">
        <v>44515</v>
      </c>
      <c r="F174" s="5" t="s">
        <v>79</v>
      </c>
      <c r="G174" s="190">
        <v>2014</v>
      </c>
      <c r="H174" s="125" t="s">
        <v>49</v>
      </c>
      <c r="I174" s="125" t="s">
        <v>445</v>
      </c>
      <c r="J174" s="58">
        <v>9035.75</v>
      </c>
      <c r="K174" s="58"/>
      <c r="L174" s="58">
        <v>684.25</v>
      </c>
      <c r="M174" s="58">
        <v>921</v>
      </c>
      <c r="N174" s="58">
        <f t="shared" si="21"/>
        <v>8799</v>
      </c>
      <c r="O174" s="58">
        <f t="shared" si="22"/>
        <v>9299</v>
      </c>
      <c r="P174" s="58">
        <v>9720</v>
      </c>
      <c r="Q174" s="61" t="s">
        <v>336</v>
      </c>
      <c r="R174" t="s">
        <v>1236</v>
      </c>
    </row>
    <row r="175" spans="1:19" ht="15.75" customHeight="1" x14ac:dyDescent="0.3">
      <c r="A175" s="5" t="s">
        <v>547</v>
      </c>
      <c r="B175" s="5"/>
      <c r="C175" s="333" t="s">
        <v>670</v>
      </c>
      <c r="D175" s="21">
        <v>104297</v>
      </c>
      <c r="E175" s="13">
        <v>44613</v>
      </c>
      <c r="F175" s="5" t="s">
        <v>187</v>
      </c>
      <c r="G175" s="190">
        <v>2014</v>
      </c>
      <c r="H175" s="125" t="s">
        <v>49</v>
      </c>
      <c r="I175" s="125" t="s">
        <v>511</v>
      </c>
      <c r="J175" s="58">
        <v>11135</v>
      </c>
      <c r="K175" s="58"/>
      <c r="L175" s="58">
        <v>684.25</v>
      </c>
      <c r="M175" s="58">
        <v>921</v>
      </c>
      <c r="N175" s="58">
        <f t="shared" si="21"/>
        <v>10898.25</v>
      </c>
      <c r="O175" s="58">
        <f t="shared" si="22"/>
        <v>11398.25</v>
      </c>
      <c r="P175" s="63">
        <v>11643</v>
      </c>
      <c r="Q175" s="60" t="s">
        <v>336</v>
      </c>
      <c r="R175" t="s">
        <v>1237</v>
      </c>
    </row>
    <row r="176" spans="1:19" ht="15.75" customHeight="1" x14ac:dyDescent="0.3">
      <c r="A176" s="142" t="s">
        <v>659</v>
      </c>
      <c r="B176" s="142"/>
      <c r="C176" s="333" t="s">
        <v>682</v>
      </c>
      <c r="D176" s="21">
        <v>83675</v>
      </c>
      <c r="E176" s="13">
        <v>44633</v>
      </c>
      <c r="F176" s="5" t="s">
        <v>211</v>
      </c>
      <c r="G176" s="190">
        <v>2006</v>
      </c>
      <c r="H176" s="125" t="s">
        <v>162</v>
      </c>
      <c r="I176" s="125" t="s">
        <v>276</v>
      </c>
      <c r="J176" s="66">
        <v>10428</v>
      </c>
      <c r="K176" s="66"/>
      <c r="L176" s="66">
        <v>648.6</v>
      </c>
      <c r="M176" s="58">
        <v>921</v>
      </c>
      <c r="N176" s="58">
        <f t="shared" si="21"/>
        <v>10155.6</v>
      </c>
      <c r="O176" s="58">
        <f t="shared" si="22"/>
        <v>10655.6</v>
      </c>
      <c r="P176" s="63">
        <v>10655.6</v>
      </c>
      <c r="Q176" s="60" t="s">
        <v>573</v>
      </c>
      <c r="R176" t="s">
        <v>1238</v>
      </c>
    </row>
    <row r="177" spans="1:18" ht="15.75" customHeight="1" x14ac:dyDescent="0.3">
      <c r="A177" s="142" t="s">
        <v>659</v>
      </c>
      <c r="B177" s="142"/>
      <c r="C177" s="333" t="s">
        <v>687</v>
      </c>
      <c r="D177" s="21">
        <v>69976</v>
      </c>
      <c r="E177" s="13">
        <v>44633</v>
      </c>
      <c r="F177" s="5" t="s">
        <v>228</v>
      </c>
      <c r="G177" s="190">
        <v>2008</v>
      </c>
      <c r="H177" s="125" t="s">
        <v>44</v>
      </c>
      <c r="I177" s="125" t="s">
        <v>609</v>
      </c>
      <c r="J177" s="68">
        <v>12488</v>
      </c>
      <c r="K177" s="68"/>
      <c r="L177" s="68">
        <v>711.91</v>
      </c>
      <c r="M177" s="58">
        <v>921</v>
      </c>
      <c r="N177" s="58">
        <f t="shared" si="21"/>
        <v>12278.91</v>
      </c>
      <c r="O177" s="58">
        <f t="shared" si="22"/>
        <v>12778.91</v>
      </c>
      <c r="P177" s="188">
        <v>12164.22</v>
      </c>
      <c r="Q177" s="189" t="s">
        <v>342</v>
      </c>
      <c r="R177" s="152" t="s">
        <v>1157</v>
      </c>
    </row>
    <row r="178" spans="1:18" ht="15.75" customHeight="1" x14ac:dyDescent="0.3">
      <c r="A178" s="142" t="s">
        <v>659</v>
      </c>
      <c r="B178" s="142"/>
      <c r="C178" s="333" t="s">
        <v>689</v>
      </c>
      <c r="D178" s="21">
        <v>84093</v>
      </c>
      <c r="E178" s="13">
        <v>44633</v>
      </c>
      <c r="F178" s="5" t="s">
        <v>228</v>
      </c>
      <c r="G178" s="190">
        <v>2014</v>
      </c>
      <c r="H178" s="125" t="s">
        <v>29</v>
      </c>
      <c r="I178" s="125" t="s">
        <v>189</v>
      </c>
      <c r="J178" s="68">
        <v>11106</v>
      </c>
      <c r="K178" s="68"/>
      <c r="L178" s="68">
        <v>648.6</v>
      </c>
      <c r="M178" s="58">
        <v>921</v>
      </c>
      <c r="N178" s="58">
        <f t="shared" si="21"/>
        <v>10833.6</v>
      </c>
      <c r="O178" s="58">
        <f t="shared" si="22"/>
        <v>11333.6</v>
      </c>
      <c r="P178" s="69">
        <v>11500</v>
      </c>
      <c r="Q178" s="70" t="s">
        <v>336</v>
      </c>
      <c r="R178" t="s">
        <v>1239</v>
      </c>
    </row>
    <row r="179" spans="1:18" ht="15.75" customHeight="1" x14ac:dyDescent="0.3">
      <c r="A179" s="142" t="s">
        <v>659</v>
      </c>
      <c r="B179" s="142"/>
      <c r="C179" s="333" t="s">
        <v>694</v>
      </c>
      <c r="D179" s="21">
        <v>66285</v>
      </c>
      <c r="E179" s="13">
        <v>44633</v>
      </c>
      <c r="F179" s="5" t="s">
        <v>200</v>
      </c>
      <c r="G179" s="190">
        <v>2012</v>
      </c>
      <c r="H179" s="125" t="s">
        <v>143</v>
      </c>
      <c r="I179" s="125" t="s">
        <v>195</v>
      </c>
      <c r="J179" s="68">
        <v>9097</v>
      </c>
      <c r="K179" s="68"/>
      <c r="L179" s="68">
        <v>796.75</v>
      </c>
      <c r="M179" s="58">
        <v>1151</v>
      </c>
      <c r="N179" s="58">
        <f t="shared" si="21"/>
        <v>8742.75</v>
      </c>
      <c r="O179" s="58">
        <f t="shared" si="22"/>
        <v>9242.75</v>
      </c>
      <c r="P179" s="69">
        <v>7252.75</v>
      </c>
      <c r="Q179" s="70" t="s">
        <v>342</v>
      </c>
      <c r="R179" t="s">
        <v>1240</v>
      </c>
    </row>
    <row r="180" spans="1:18" ht="15.75" customHeight="1" x14ac:dyDescent="0.3">
      <c r="A180" s="5" t="s">
        <v>547</v>
      </c>
      <c r="B180" s="5"/>
      <c r="C180" s="333" t="s">
        <v>705</v>
      </c>
      <c r="D180" s="21">
        <v>85876</v>
      </c>
      <c r="E180" s="13">
        <v>44633</v>
      </c>
      <c r="F180" s="5" t="s">
        <v>211</v>
      </c>
      <c r="G180" s="190">
        <v>2007</v>
      </c>
      <c r="H180" s="125" t="s">
        <v>29</v>
      </c>
      <c r="I180" s="125" t="s">
        <v>30</v>
      </c>
      <c r="J180" s="68">
        <v>6675</v>
      </c>
      <c r="K180" s="68"/>
      <c r="L180" s="68">
        <v>534.75</v>
      </c>
      <c r="M180" s="58">
        <v>921</v>
      </c>
      <c r="N180" s="58">
        <f t="shared" si="21"/>
        <v>6288.75</v>
      </c>
      <c r="O180" s="58">
        <f>SUM(N180+500)</f>
        <v>6788.75</v>
      </c>
      <c r="P180" s="69">
        <v>6788.75</v>
      </c>
      <c r="Q180" s="70" t="s">
        <v>342</v>
      </c>
      <c r="R180" t="s">
        <v>1241</v>
      </c>
    </row>
    <row r="181" spans="1:18" ht="15.75" customHeight="1" x14ac:dyDescent="0.3">
      <c r="A181" s="5" t="s">
        <v>547</v>
      </c>
      <c r="B181" s="5"/>
      <c r="C181" s="333" t="s">
        <v>706</v>
      </c>
      <c r="D181" s="21">
        <v>83622</v>
      </c>
      <c r="E181" s="13">
        <v>44633</v>
      </c>
      <c r="F181" s="5" t="s">
        <v>228</v>
      </c>
      <c r="G181" s="190">
        <v>2010</v>
      </c>
      <c r="H181" s="125" t="s">
        <v>29</v>
      </c>
      <c r="I181" s="125" t="s">
        <v>30</v>
      </c>
      <c r="J181" s="68">
        <v>9759</v>
      </c>
      <c r="K181" s="68"/>
      <c r="L181" s="68">
        <v>1546.75</v>
      </c>
      <c r="M181" s="58">
        <v>921</v>
      </c>
      <c r="N181" s="58">
        <f t="shared" si="21"/>
        <v>10384.75</v>
      </c>
      <c r="O181" s="58">
        <f t="shared" ref="O181:O190" si="23">SUM(N181+500)</f>
        <v>10884.75</v>
      </c>
      <c r="P181" s="69">
        <v>10884.75</v>
      </c>
      <c r="Q181" s="70" t="s">
        <v>342</v>
      </c>
      <c r="R181" t="s">
        <v>1241</v>
      </c>
    </row>
    <row r="182" spans="1:18" ht="15.75" customHeight="1" x14ac:dyDescent="0.3">
      <c r="A182" s="5" t="s">
        <v>547</v>
      </c>
      <c r="B182" s="5"/>
      <c r="C182" s="333" t="s">
        <v>714</v>
      </c>
      <c r="D182" s="21">
        <v>76286</v>
      </c>
      <c r="E182" s="13">
        <v>44633</v>
      </c>
      <c r="F182" s="5" t="s">
        <v>211</v>
      </c>
      <c r="G182" s="190">
        <v>2014</v>
      </c>
      <c r="H182" s="125" t="s">
        <v>96</v>
      </c>
      <c r="I182" s="125" t="s">
        <v>390</v>
      </c>
      <c r="J182" s="68">
        <v>8337</v>
      </c>
      <c r="K182" s="68"/>
      <c r="L182" s="68">
        <v>684.25</v>
      </c>
      <c r="M182" s="58">
        <v>921</v>
      </c>
      <c r="N182" s="58">
        <f t="shared" si="21"/>
        <v>8100.25</v>
      </c>
      <c r="O182" s="58">
        <f t="shared" si="23"/>
        <v>8600.25</v>
      </c>
      <c r="P182" s="69">
        <v>8600.25</v>
      </c>
      <c r="Q182" s="70" t="s">
        <v>342</v>
      </c>
      <c r="R182" t="s">
        <v>1241</v>
      </c>
    </row>
    <row r="183" spans="1:18" ht="15.75" customHeight="1" x14ac:dyDescent="0.3">
      <c r="A183" s="5" t="s">
        <v>547</v>
      </c>
      <c r="B183" s="5"/>
      <c r="C183" s="333" t="s">
        <v>715</v>
      </c>
      <c r="D183" s="21">
        <v>80621</v>
      </c>
      <c r="E183" s="13">
        <v>44633</v>
      </c>
      <c r="F183" s="5" t="s">
        <v>228</v>
      </c>
      <c r="G183" s="190">
        <v>2016</v>
      </c>
      <c r="H183" s="125" t="s">
        <v>96</v>
      </c>
      <c r="I183" s="125" t="s">
        <v>390</v>
      </c>
      <c r="J183" s="68">
        <v>9260</v>
      </c>
      <c r="K183" s="68">
        <f>330*1.15</f>
        <v>379.49999999999994</v>
      </c>
      <c r="L183" s="68">
        <f>1297.12-K183+561.1</f>
        <v>1478.7199999999998</v>
      </c>
      <c r="M183" s="58"/>
      <c r="N183" s="58">
        <f>SUM(J183+K183+L183-M183)</f>
        <v>11118.22</v>
      </c>
      <c r="O183" s="58">
        <f t="shared" si="23"/>
        <v>11618.22</v>
      </c>
      <c r="P183" s="69">
        <v>9304.75</v>
      </c>
      <c r="Q183" s="70" t="s">
        <v>573</v>
      </c>
      <c r="R183" t="s">
        <v>1242</v>
      </c>
    </row>
    <row r="184" spans="1:18" ht="15.75" customHeight="1" x14ac:dyDescent="0.3">
      <c r="A184" s="5" t="s">
        <v>547</v>
      </c>
      <c r="B184" s="5"/>
      <c r="C184" s="333" t="s">
        <v>743</v>
      </c>
      <c r="D184" s="21">
        <v>74505</v>
      </c>
      <c r="E184" s="13">
        <v>44633</v>
      </c>
      <c r="F184" s="5" t="s">
        <v>211</v>
      </c>
      <c r="G184" s="190">
        <v>2012</v>
      </c>
      <c r="H184" s="125" t="s">
        <v>143</v>
      </c>
      <c r="I184" s="125" t="s">
        <v>195</v>
      </c>
      <c r="J184" s="68">
        <v>8265</v>
      </c>
      <c r="L184" s="68">
        <v>1241.1099999999999</v>
      </c>
      <c r="M184" s="58">
        <v>1151</v>
      </c>
      <c r="N184" s="58">
        <f t="shared" ref="N184:N190" si="24">SUM(J184+L184-M184)</f>
        <v>8355.11</v>
      </c>
      <c r="O184" s="58">
        <f t="shared" si="23"/>
        <v>8855.11</v>
      </c>
      <c r="P184" s="69">
        <v>8855.11</v>
      </c>
      <c r="Q184" s="70" t="s">
        <v>573</v>
      </c>
      <c r="R184" t="s">
        <v>1243</v>
      </c>
    </row>
    <row r="185" spans="1:18" ht="15.75" customHeight="1" x14ac:dyDescent="0.3">
      <c r="A185" s="184" t="s">
        <v>547</v>
      </c>
      <c r="B185" s="184"/>
      <c r="C185" s="334" t="s">
        <v>751</v>
      </c>
      <c r="D185" s="21">
        <v>114279</v>
      </c>
      <c r="E185" s="13">
        <v>44633</v>
      </c>
      <c r="F185" s="5" t="s">
        <v>228</v>
      </c>
      <c r="G185" s="190">
        <v>2010</v>
      </c>
      <c r="H185" s="125" t="s">
        <v>123</v>
      </c>
      <c r="I185" s="125" t="s">
        <v>752</v>
      </c>
      <c r="J185" s="71">
        <v>12614</v>
      </c>
      <c r="K185" s="71"/>
      <c r="L185" s="71">
        <v>7342.55</v>
      </c>
      <c r="M185" s="62">
        <v>921</v>
      </c>
      <c r="N185" s="62">
        <f t="shared" si="24"/>
        <v>19035.55</v>
      </c>
      <c r="O185" s="58">
        <f t="shared" si="23"/>
        <v>19535.55</v>
      </c>
      <c r="P185" s="69"/>
      <c r="Q185" s="70" t="s">
        <v>336</v>
      </c>
      <c r="R185" t="s">
        <v>1244</v>
      </c>
    </row>
    <row r="186" spans="1:18" ht="15.75" customHeight="1" x14ac:dyDescent="0.3">
      <c r="A186" s="169" t="s">
        <v>659</v>
      </c>
      <c r="B186" s="169"/>
      <c r="C186" s="335" t="s">
        <v>769</v>
      </c>
      <c r="D186" s="27">
        <v>71954</v>
      </c>
      <c r="E186" s="16">
        <v>44673</v>
      </c>
      <c r="F186" s="17" t="s">
        <v>766</v>
      </c>
      <c r="G186" s="191">
        <v>2014</v>
      </c>
      <c r="H186" s="73" t="s">
        <v>49</v>
      </c>
      <c r="I186" s="73" t="s">
        <v>260</v>
      </c>
      <c r="J186" s="11">
        <v>10113</v>
      </c>
      <c r="K186" s="11"/>
      <c r="L186" s="11">
        <v>470.87</v>
      </c>
      <c r="M186" s="11">
        <v>921</v>
      </c>
      <c r="N186" s="11">
        <f t="shared" si="24"/>
        <v>9662.8700000000008</v>
      </c>
      <c r="O186" s="11">
        <f t="shared" si="23"/>
        <v>10162.870000000001</v>
      </c>
      <c r="P186" s="11"/>
      <c r="Q186" s="15" t="s">
        <v>311</v>
      </c>
      <c r="R186" t="s">
        <v>1245</v>
      </c>
    </row>
    <row r="187" spans="1:18" ht="15.75" customHeight="1" x14ac:dyDescent="0.3">
      <c r="A187" s="169" t="s">
        <v>659</v>
      </c>
      <c r="B187" s="169"/>
      <c r="C187" s="336" t="s">
        <v>785</v>
      </c>
      <c r="D187" s="29">
        <v>85245</v>
      </c>
      <c r="E187" s="16">
        <v>44718</v>
      </c>
      <c r="F187" s="12" t="s">
        <v>277</v>
      </c>
      <c r="G187" s="28" t="s">
        <v>278</v>
      </c>
      <c r="H187" s="28" t="s">
        <v>49</v>
      </c>
      <c r="I187" s="28" t="s">
        <v>445</v>
      </c>
      <c r="J187" s="11">
        <v>10468</v>
      </c>
      <c r="K187" s="11"/>
      <c r="L187">
        <v>397.92</v>
      </c>
      <c r="N187" s="11">
        <f t="shared" si="24"/>
        <v>10865.92</v>
      </c>
      <c r="O187" s="11">
        <f t="shared" si="23"/>
        <v>11365.92</v>
      </c>
      <c r="Q187" t="s">
        <v>311</v>
      </c>
      <c r="R187" t="s">
        <v>1246</v>
      </c>
    </row>
    <row r="188" spans="1:18" ht="15.75" customHeight="1" x14ac:dyDescent="0.3">
      <c r="A188" s="169" t="s">
        <v>659</v>
      </c>
      <c r="B188" s="169"/>
      <c r="C188" s="336" t="s">
        <v>791</v>
      </c>
      <c r="D188" s="29">
        <v>30717</v>
      </c>
      <c r="E188" s="16">
        <v>44718</v>
      </c>
      <c r="F188" s="12" t="s">
        <v>277</v>
      </c>
      <c r="G188" s="28" t="s">
        <v>508</v>
      </c>
      <c r="H188" s="28" t="s">
        <v>123</v>
      </c>
      <c r="I188" s="28" t="s">
        <v>206</v>
      </c>
      <c r="J188" s="11">
        <v>10852</v>
      </c>
      <c r="K188" s="11"/>
      <c r="L188">
        <v>777.37</v>
      </c>
      <c r="N188" s="11">
        <f t="shared" si="24"/>
        <v>11629.37</v>
      </c>
      <c r="O188" s="11">
        <f t="shared" si="23"/>
        <v>12129.37</v>
      </c>
      <c r="P188" s="53">
        <v>11629.37</v>
      </c>
      <c r="Q188" t="s">
        <v>573</v>
      </c>
      <c r="R188" t="s">
        <v>1247</v>
      </c>
    </row>
    <row r="189" spans="1:18" ht="15.75" customHeight="1" x14ac:dyDescent="0.3">
      <c r="A189" t="s">
        <v>659</v>
      </c>
      <c r="C189" s="337" t="s">
        <v>793</v>
      </c>
      <c r="D189" s="29">
        <v>48983</v>
      </c>
      <c r="E189" t="s">
        <v>290</v>
      </c>
      <c r="F189" t="s">
        <v>275</v>
      </c>
      <c r="G189" s="30" t="s">
        <v>280</v>
      </c>
      <c r="H189" s="30" t="s">
        <v>49</v>
      </c>
      <c r="I189" s="30" t="s">
        <v>445</v>
      </c>
      <c r="J189" s="11">
        <v>10652</v>
      </c>
      <c r="K189" s="11"/>
      <c r="L189" s="53">
        <v>623.1</v>
      </c>
      <c r="N189" s="11">
        <f t="shared" si="24"/>
        <v>11275.1</v>
      </c>
      <c r="O189" s="11">
        <f t="shared" si="23"/>
        <v>11775.1</v>
      </c>
      <c r="Q189" t="s">
        <v>311</v>
      </c>
      <c r="R189" t="s">
        <v>1248</v>
      </c>
    </row>
    <row r="190" spans="1:18" ht="15.75" customHeight="1" x14ac:dyDescent="0.3">
      <c r="A190" t="s">
        <v>659</v>
      </c>
      <c r="C190" s="337" t="s">
        <v>795</v>
      </c>
      <c r="D190" s="29">
        <v>54320</v>
      </c>
      <c r="E190" t="s">
        <v>290</v>
      </c>
      <c r="F190" t="s">
        <v>275</v>
      </c>
      <c r="G190" s="30" t="s">
        <v>287</v>
      </c>
      <c r="H190" s="30" t="s">
        <v>29</v>
      </c>
      <c r="I190" s="30" t="s">
        <v>665</v>
      </c>
      <c r="J190" s="11">
        <v>8922</v>
      </c>
      <c r="K190" s="11"/>
      <c r="L190">
        <v>113.85</v>
      </c>
      <c r="N190" s="11">
        <f t="shared" si="24"/>
        <v>9035.85</v>
      </c>
      <c r="O190" s="11">
        <f t="shared" si="23"/>
        <v>9535.85</v>
      </c>
      <c r="Q190" t="s">
        <v>311</v>
      </c>
      <c r="R190" t="s">
        <v>1257</v>
      </c>
    </row>
    <row r="191" spans="1:18" ht="15.75" customHeight="1" x14ac:dyDescent="0.3">
      <c r="A191" t="s">
        <v>547</v>
      </c>
      <c r="C191" s="338" t="s">
        <v>1260</v>
      </c>
      <c r="D191" s="37" t="s">
        <v>1260</v>
      </c>
      <c r="E191" s="37" t="s">
        <v>1260</v>
      </c>
      <c r="F191" s="37" t="s">
        <v>1260</v>
      </c>
      <c r="G191" s="37" t="s">
        <v>838</v>
      </c>
      <c r="H191" s="37" t="s">
        <v>29</v>
      </c>
      <c r="I191" s="37" t="s">
        <v>30</v>
      </c>
      <c r="J191" s="11">
        <v>7106.85</v>
      </c>
      <c r="R191" t="s">
        <v>1261</v>
      </c>
    </row>
    <row r="192" spans="1:18" ht="15.75" customHeight="1" x14ac:dyDescent="0.3">
      <c r="A192" t="s">
        <v>547</v>
      </c>
      <c r="C192" s="338" t="s">
        <v>1278</v>
      </c>
      <c r="G192" s="108" t="s">
        <v>839</v>
      </c>
      <c r="H192" s="108" t="s">
        <v>29</v>
      </c>
      <c r="I192" s="108" t="s">
        <v>217</v>
      </c>
      <c r="J192" s="209">
        <v>7455.8</v>
      </c>
      <c r="L192" s="53">
        <v>1134.5999999999999</v>
      </c>
      <c r="N192" s="58">
        <f>SUM(J192+K192+L192-M192)</f>
        <v>8590.4</v>
      </c>
      <c r="O192" s="58">
        <f>SUM(N192+500)</f>
        <v>9090.4</v>
      </c>
      <c r="R192" t="s">
        <v>1279</v>
      </c>
    </row>
    <row r="193" spans="1:21" ht="15.75" customHeight="1" x14ac:dyDescent="0.3">
      <c r="A193" s="5" t="s">
        <v>547</v>
      </c>
      <c r="B193" s="5"/>
      <c r="C193" s="333" t="s">
        <v>716</v>
      </c>
      <c r="D193" s="21">
        <v>12684</v>
      </c>
      <c r="E193" s="13">
        <v>44633</v>
      </c>
      <c r="F193" s="5" t="s">
        <v>211</v>
      </c>
      <c r="G193" s="190">
        <v>2011</v>
      </c>
      <c r="H193" s="125" t="s">
        <v>96</v>
      </c>
      <c r="I193" s="125" t="s">
        <v>383</v>
      </c>
      <c r="J193" s="210">
        <v>13988</v>
      </c>
      <c r="K193" s="68"/>
      <c r="L193" s="68">
        <v>684.25</v>
      </c>
      <c r="M193" s="58">
        <v>921</v>
      </c>
      <c r="N193" s="58">
        <f>SUM(J193+K193+L193-M193)</f>
        <v>13751.25</v>
      </c>
      <c r="O193" s="58">
        <f>SUM(N193+500)</f>
        <v>14251.25</v>
      </c>
      <c r="P193" s="69"/>
      <c r="Q193" s="70" t="s">
        <v>573</v>
      </c>
      <c r="R193" s="67" t="s">
        <v>1252</v>
      </c>
      <c r="S193" s="12" t="s">
        <v>600</v>
      </c>
    </row>
    <row r="194" spans="1:21" ht="15.75" customHeight="1" x14ac:dyDescent="0.3">
      <c r="A194" s="5" t="s">
        <v>547</v>
      </c>
      <c r="B194" s="5"/>
      <c r="C194" s="333" t="s">
        <v>725</v>
      </c>
      <c r="D194" s="21">
        <v>67007</v>
      </c>
      <c r="E194" s="13">
        <v>44633</v>
      </c>
      <c r="F194" s="5" t="s">
        <v>211</v>
      </c>
      <c r="G194" s="190">
        <v>2005</v>
      </c>
      <c r="H194" s="125" t="s">
        <v>49</v>
      </c>
      <c r="I194" s="125" t="s">
        <v>119</v>
      </c>
      <c r="J194" s="210">
        <v>6942</v>
      </c>
      <c r="K194" s="68"/>
      <c r="L194" s="68">
        <v>855.03</v>
      </c>
      <c r="M194" s="58">
        <v>921</v>
      </c>
      <c r="N194" s="58">
        <f>SUM(J194+K194+L194-M194)</f>
        <v>6876.03</v>
      </c>
      <c r="O194" s="58">
        <f>SUM(N194+500)</f>
        <v>7376.03</v>
      </c>
      <c r="P194" s="69">
        <v>7376.03</v>
      </c>
      <c r="Q194" s="70" t="s">
        <v>342</v>
      </c>
      <c r="R194" s="67" t="s">
        <v>1251</v>
      </c>
    </row>
    <row r="195" spans="1:21" ht="15.75" customHeight="1" x14ac:dyDescent="0.3">
      <c r="A195" s="5" t="s">
        <v>547</v>
      </c>
      <c r="B195" s="5"/>
      <c r="C195" s="333" t="s">
        <v>635</v>
      </c>
      <c r="D195" s="21">
        <v>139028</v>
      </c>
      <c r="E195" s="13">
        <v>44515</v>
      </c>
      <c r="F195" s="5" t="s">
        <v>79</v>
      </c>
      <c r="G195" s="190">
        <v>2007</v>
      </c>
      <c r="H195" s="125" t="s">
        <v>450</v>
      </c>
      <c r="I195" s="125" t="s">
        <v>636</v>
      </c>
      <c r="J195" s="58">
        <v>7491</v>
      </c>
      <c r="K195" s="58"/>
      <c r="L195" s="58">
        <v>1291.6600000000001</v>
      </c>
      <c r="M195" s="58">
        <v>921</v>
      </c>
      <c r="N195" s="58">
        <f>SUM(J195+K195+L195-M195)</f>
        <v>7861.66</v>
      </c>
      <c r="O195" s="58">
        <f>SUM(N195+500)</f>
        <v>8361.66</v>
      </c>
      <c r="P195" s="63"/>
      <c r="Q195" s="60" t="s">
        <v>342</v>
      </c>
      <c r="R195" s="60" t="s">
        <v>1255</v>
      </c>
    </row>
    <row r="196" spans="1:21" ht="15.75" customHeight="1" x14ac:dyDescent="0.3">
      <c r="A196" s="125" t="s">
        <v>547</v>
      </c>
      <c r="B196" s="125"/>
      <c r="C196" s="339" t="s">
        <v>704</v>
      </c>
      <c r="D196" s="211">
        <v>83834</v>
      </c>
      <c r="E196" s="212">
        <v>44633</v>
      </c>
      <c r="F196" s="125" t="s">
        <v>200</v>
      </c>
      <c r="G196" s="190">
        <v>2007</v>
      </c>
      <c r="H196" s="125" t="s">
        <v>29</v>
      </c>
      <c r="I196" s="125" t="s">
        <v>30</v>
      </c>
      <c r="J196" s="210">
        <v>7102</v>
      </c>
      <c r="K196" s="210"/>
      <c r="L196" s="210">
        <v>1359.86</v>
      </c>
      <c r="M196" s="213">
        <v>921</v>
      </c>
      <c r="N196" s="213">
        <f>SUM(J196+K196+L196-M196)</f>
        <v>7540.8600000000006</v>
      </c>
      <c r="O196" s="213">
        <f>SUM(N196+500)</f>
        <v>8040.8600000000006</v>
      </c>
      <c r="P196" s="214">
        <v>7371.36</v>
      </c>
      <c r="Q196" s="215" t="s">
        <v>573</v>
      </c>
      <c r="R196" s="216" t="s">
        <v>1375</v>
      </c>
    </row>
    <row r="197" spans="1:21" ht="15.75" customHeight="1" x14ac:dyDescent="0.3">
      <c r="A197" t="s">
        <v>1377</v>
      </c>
      <c r="C197" s="338" t="s">
        <v>1376</v>
      </c>
      <c r="G197" t="s">
        <v>522</v>
      </c>
      <c r="H197" t="s">
        <v>77</v>
      </c>
      <c r="I197" t="s">
        <v>138</v>
      </c>
      <c r="R197" s="217" t="s">
        <v>1378</v>
      </c>
    </row>
    <row r="198" spans="1:21" ht="15.75" customHeight="1" x14ac:dyDescent="0.3">
      <c r="A198" s="142" t="s">
        <v>659</v>
      </c>
      <c r="B198" s="142"/>
      <c r="C198" s="333" t="s">
        <v>690</v>
      </c>
      <c r="D198" s="21">
        <v>71812</v>
      </c>
      <c r="E198" s="13">
        <v>44633</v>
      </c>
      <c r="F198" s="5" t="s">
        <v>200</v>
      </c>
      <c r="G198" s="190">
        <v>2008</v>
      </c>
      <c r="H198" s="125" t="s">
        <v>96</v>
      </c>
      <c r="I198" s="125" t="s">
        <v>97</v>
      </c>
      <c r="J198" s="68">
        <v>12225</v>
      </c>
      <c r="K198" s="68"/>
      <c r="L198" s="68">
        <v>804.31</v>
      </c>
      <c r="M198" s="58">
        <v>921</v>
      </c>
      <c r="N198" s="58">
        <f t="shared" ref="N198:N205" si="25">SUM(J198+K198+L198-M198)</f>
        <v>12108.31</v>
      </c>
      <c r="O198" s="58">
        <f t="shared" ref="O198:O205" si="26">SUM(N198+500)</f>
        <v>12608.31</v>
      </c>
      <c r="P198" s="69"/>
      <c r="Q198" s="70" t="s">
        <v>311</v>
      </c>
      <c r="R198" s="12" t="s">
        <v>1379</v>
      </c>
    </row>
    <row r="199" spans="1:21" ht="15.75" customHeight="1" x14ac:dyDescent="0.3">
      <c r="A199" s="5" t="s">
        <v>547</v>
      </c>
      <c r="B199" s="5"/>
      <c r="C199" s="333" t="s">
        <v>728</v>
      </c>
      <c r="D199" s="21">
        <v>52800</v>
      </c>
      <c r="E199" s="13">
        <v>44633</v>
      </c>
      <c r="F199" s="5" t="s">
        <v>200</v>
      </c>
      <c r="G199" s="190">
        <v>2009</v>
      </c>
      <c r="H199" s="125" t="s">
        <v>16</v>
      </c>
      <c r="I199" s="125" t="s">
        <v>234</v>
      </c>
      <c r="J199" s="68">
        <v>12269</v>
      </c>
      <c r="K199" s="68">
        <f>330*1.15</f>
        <v>379.49999999999994</v>
      </c>
      <c r="L199" s="68">
        <f>1251.34+172.5-K199</f>
        <v>1044.3399999999999</v>
      </c>
      <c r="M199" s="58"/>
      <c r="N199" s="58">
        <f t="shared" si="25"/>
        <v>13692.84</v>
      </c>
      <c r="O199" s="58">
        <f t="shared" si="26"/>
        <v>14192.84</v>
      </c>
      <c r="P199" s="69">
        <v>13099.34</v>
      </c>
      <c r="Q199" s="70" t="s">
        <v>342</v>
      </c>
    </row>
    <row r="200" spans="1:21" ht="15.75" customHeight="1" x14ac:dyDescent="0.3">
      <c r="A200" t="s">
        <v>659</v>
      </c>
      <c r="C200" s="337" t="s">
        <v>794</v>
      </c>
      <c r="D200" s="29">
        <v>71438</v>
      </c>
      <c r="E200" t="s">
        <v>290</v>
      </c>
      <c r="F200" t="s">
        <v>275</v>
      </c>
      <c r="G200" s="128" t="s">
        <v>287</v>
      </c>
      <c r="H200" s="128" t="s">
        <v>29</v>
      </c>
      <c r="I200" s="128" t="s">
        <v>189</v>
      </c>
      <c r="J200" s="11">
        <v>6121</v>
      </c>
      <c r="K200" s="11"/>
      <c r="L200">
        <v>605.85</v>
      </c>
      <c r="N200" s="58">
        <f t="shared" si="25"/>
        <v>6726.85</v>
      </c>
      <c r="O200" s="11">
        <f t="shared" si="26"/>
        <v>7226.85</v>
      </c>
      <c r="Q200" t="s">
        <v>311</v>
      </c>
      <c r="R200" t="s">
        <v>1249</v>
      </c>
    </row>
    <row r="201" spans="1:21" ht="15.75" customHeight="1" x14ac:dyDescent="0.3">
      <c r="A201" s="5" t="s">
        <v>547</v>
      </c>
      <c r="B201" s="5"/>
      <c r="C201" s="333" t="s">
        <v>709</v>
      </c>
      <c r="D201" s="21">
        <v>109410</v>
      </c>
      <c r="E201" s="13">
        <v>44633</v>
      </c>
      <c r="F201" s="5" t="s">
        <v>228</v>
      </c>
      <c r="G201" s="190">
        <v>2007</v>
      </c>
      <c r="H201" s="125" t="s">
        <v>16</v>
      </c>
      <c r="I201" s="125" t="s">
        <v>17</v>
      </c>
      <c r="J201" s="68">
        <v>7187</v>
      </c>
      <c r="K201" s="68"/>
      <c r="L201" s="68">
        <v>1841.99</v>
      </c>
      <c r="M201" s="58">
        <v>921</v>
      </c>
      <c r="N201" s="58">
        <f t="shared" si="25"/>
        <v>8107.99</v>
      </c>
      <c r="O201" s="58">
        <f t="shared" si="26"/>
        <v>8607.99</v>
      </c>
      <c r="P201" s="69"/>
      <c r="Q201" s="70" t="s">
        <v>336</v>
      </c>
      <c r="R201" s="67" t="s">
        <v>1253</v>
      </c>
      <c r="S201" s="12" t="s">
        <v>710</v>
      </c>
      <c r="T201" s="12"/>
      <c r="U201" s="12"/>
    </row>
    <row r="202" spans="1:21" ht="15.75" customHeight="1" x14ac:dyDescent="0.3">
      <c r="A202" s="25" t="s">
        <v>547</v>
      </c>
      <c r="B202" s="25"/>
      <c r="C202" s="336" t="s">
        <v>778</v>
      </c>
      <c r="D202" s="29">
        <v>99433</v>
      </c>
      <c r="E202" s="16">
        <v>44718</v>
      </c>
      <c r="F202" s="12" t="s">
        <v>277</v>
      </c>
      <c r="G202" s="108" t="s">
        <v>287</v>
      </c>
      <c r="H202" s="108" t="s">
        <v>37</v>
      </c>
      <c r="I202" s="108" t="s">
        <v>779</v>
      </c>
      <c r="J202" s="11">
        <v>10977</v>
      </c>
      <c r="K202" s="11"/>
      <c r="L202" s="11">
        <v>1328.77</v>
      </c>
      <c r="N202" s="58">
        <f t="shared" si="25"/>
        <v>12305.77</v>
      </c>
      <c r="O202" s="11">
        <f t="shared" si="26"/>
        <v>12805.77</v>
      </c>
      <c r="Q202" t="s">
        <v>311</v>
      </c>
      <c r="R202" t="s">
        <v>1250</v>
      </c>
    </row>
    <row r="203" spans="1:21" ht="15.75" customHeight="1" x14ac:dyDescent="0.3">
      <c r="A203" s="143" t="s">
        <v>547</v>
      </c>
      <c r="B203" s="143"/>
      <c r="C203" s="333" t="s">
        <v>671</v>
      </c>
      <c r="D203" s="21">
        <v>103444</v>
      </c>
      <c r="E203" s="13">
        <v>44613</v>
      </c>
      <c r="F203" s="5" t="s">
        <v>187</v>
      </c>
      <c r="G203" s="190">
        <v>2012</v>
      </c>
      <c r="H203" s="125" t="s">
        <v>16</v>
      </c>
      <c r="I203" s="125" t="s">
        <v>672</v>
      </c>
      <c r="J203" s="58">
        <v>10606</v>
      </c>
      <c r="K203" s="58"/>
      <c r="L203" s="58">
        <v>1681.99</v>
      </c>
      <c r="M203" s="58">
        <v>921</v>
      </c>
      <c r="N203" s="58">
        <f t="shared" si="25"/>
        <v>11366.99</v>
      </c>
      <c r="O203" s="58">
        <f t="shared" si="26"/>
        <v>11866.99</v>
      </c>
      <c r="P203" s="63">
        <v>12500</v>
      </c>
      <c r="Q203" s="60" t="s">
        <v>311</v>
      </c>
      <c r="R203" s="60" t="s">
        <v>1254</v>
      </c>
    </row>
    <row r="204" spans="1:21" ht="15.75" customHeight="1" x14ac:dyDescent="0.3">
      <c r="A204" s="5" t="s">
        <v>547</v>
      </c>
      <c r="B204" s="5"/>
      <c r="C204" s="333" t="s">
        <v>580</v>
      </c>
      <c r="D204" s="21">
        <v>85089</v>
      </c>
      <c r="E204" s="13">
        <v>44213</v>
      </c>
      <c r="F204" s="5" t="s">
        <v>48</v>
      </c>
      <c r="G204" s="190">
        <v>2012</v>
      </c>
      <c r="H204" s="125" t="s">
        <v>37</v>
      </c>
      <c r="I204" s="125" t="s">
        <v>38</v>
      </c>
      <c r="J204" s="58">
        <v>17179.849999999999</v>
      </c>
      <c r="K204" s="58"/>
      <c r="L204" s="58">
        <v>1947.61</v>
      </c>
      <c r="M204" s="58"/>
      <c r="N204" s="58">
        <f t="shared" si="25"/>
        <v>19127.46</v>
      </c>
      <c r="O204" s="58">
        <f t="shared" si="26"/>
        <v>19627.46</v>
      </c>
      <c r="P204" s="58">
        <v>19500</v>
      </c>
      <c r="Q204" s="10" t="s">
        <v>336</v>
      </c>
      <c r="R204" s="181" t="s">
        <v>1256</v>
      </c>
    </row>
    <row r="205" spans="1:21" ht="15.75" customHeight="1" x14ac:dyDescent="0.3">
      <c r="A205" s="5" t="s">
        <v>547</v>
      </c>
      <c r="B205" s="5"/>
      <c r="C205" s="333" t="s">
        <v>717</v>
      </c>
      <c r="D205" s="21">
        <v>68347</v>
      </c>
      <c r="E205" s="13">
        <v>44633</v>
      </c>
      <c r="F205" s="5" t="s">
        <v>200</v>
      </c>
      <c r="G205" s="190">
        <v>2012</v>
      </c>
      <c r="H205" s="125" t="s">
        <v>96</v>
      </c>
      <c r="I205" s="125" t="s">
        <v>383</v>
      </c>
      <c r="J205" s="68">
        <v>12238.6</v>
      </c>
      <c r="K205" s="68"/>
      <c r="L205" s="68">
        <v>684.25</v>
      </c>
      <c r="M205" s="58">
        <v>921</v>
      </c>
      <c r="N205" s="58">
        <f t="shared" si="25"/>
        <v>12001.85</v>
      </c>
      <c r="O205" s="58">
        <f t="shared" si="26"/>
        <v>12501.85</v>
      </c>
      <c r="P205" s="69">
        <v>13712.25</v>
      </c>
      <c r="Q205" s="70" t="s">
        <v>573</v>
      </c>
    </row>
    <row r="206" spans="1:21" ht="15.75" customHeight="1" x14ac:dyDescent="0.3">
      <c r="A206" s="37" t="s">
        <v>547</v>
      </c>
      <c r="B206" s="37"/>
      <c r="C206" s="338" t="s">
        <v>1420</v>
      </c>
      <c r="G206" t="s">
        <v>283</v>
      </c>
      <c r="H206" t="s">
        <v>77</v>
      </c>
      <c r="I206" t="s">
        <v>455</v>
      </c>
      <c r="J206" s="53">
        <v>10851.6</v>
      </c>
    </row>
    <row r="207" spans="1:21" ht="15.75" customHeight="1" x14ac:dyDescent="0.3">
      <c r="A207" s="37" t="s">
        <v>659</v>
      </c>
      <c r="B207" s="37"/>
      <c r="C207" s="338" t="s">
        <v>1421</v>
      </c>
      <c r="G207" s="37" t="s">
        <v>508</v>
      </c>
      <c r="H207" s="37" t="s">
        <v>162</v>
      </c>
      <c r="I207" s="37" t="s">
        <v>276</v>
      </c>
      <c r="J207" s="53">
        <v>17440</v>
      </c>
    </row>
    <row r="208" spans="1:21" ht="15.75" customHeight="1" x14ac:dyDescent="0.3">
      <c r="A208" s="113" t="s">
        <v>1377</v>
      </c>
      <c r="B208" s="113"/>
      <c r="C208" s="338" t="s">
        <v>1422</v>
      </c>
      <c r="G208" s="108" t="s">
        <v>283</v>
      </c>
      <c r="H208" s="108" t="s">
        <v>96</v>
      </c>
      <c r="I208" s="108" t="s">
        <v>1423</v>
      </c>
      <c r="J208" s="53">
        <v>10970</v>
      </c>
    </row>
    <row r="209" spans="1:18" ht="15.75" customHeight="1" x14ac:dyDescent="0.3">
      <c r="A209" s="5" t="s">
        <v>547</v>
      </c>
      <c r="B209" s="5"/>
      <c r="C209" s="333" t="s">
        <v>739</v>
      </c>
      <c r="D209" s="21">
        <v>64104</v>
      </c>
      <c r="E209" s="13">
        <v>44633</v>
      </c>
      <c r="F209" s="5" t="s">
        <v>200</v>
      </c>
      <c r="G209" s="190">
        <v>2009</v>
      </c>
      <c r="H209" s="125" t="s">
        <v>37</v>
      </c>
      <c r="I209" s="125" t="s">
        <v>38</v>
      </c>
      <c r="J209" s="68">
        <v>12675</v>
      </c>
      <c r="K209" s="68"/>
      <c r="L209" s="68">
        <v>1261.78</v>
      </c>
      <c r="M209" s="58">
        <v>1151</v>
      </c>
      <c r="N209" s="58">
        <f t="shared" ref="N209:N231" si="27">SUM(J209+K209+L209-M209)</f>
        <v>12785.78</v>
      </c>
      <c r="O209" s="58">
        <f t="shared" ref="O209:O214" si="28">SUM(N209+500)</f>
        <v>13285.78</v>
      </c>
      <c r="P209" s="69">
        <v>13285.78</v>
      </c>
      <c r="Q209" s="70" t="s">
        <v>342</v>
      </c>
      <c r="R209" s="67"/>
    </row>
    <row r="210" spans="1:18" ht="15.75" customHeight="1" x14ac:dyDescent="0.3">
      <c r="A210" s="5" t="s">
        <v>547</v>
      </c>
      <c r="B210" s="5"/>
      <c r="C210" s="333" t="s">
        <v>632</v>
      </c>
      <c r="D210" s="21">
        <v>56443</v>
      </c>
      <c r="E210" s="13">
        <v>44515</v>
      </c>
      <c r="F210" s="5" t="s">
        <v>88</v>
      </c>
      <c r="G210" s="190">
        <v>2014</v>
      </c>
      <c r="H210" s="125" t="s">
        <v>450</v>
      </c>
      <c r="I210" s="125" t="s">
        <v>451</v>
      </c>
      <c r="J210" s="58">
        <v>11064.35</v>
      </c>
      <c r="K210" s="58"/>
      <c r="L210" s="58">
        <v>1143.92</v>
      </c>
      <c r="M210" s="58">
        <v>921</v>
      </c>
      <c r="N210" s="58">
        <f t="shared" si="27"/>
        <v>11287.27</v>
      </c>
      <c r="O210" s="58">
        <f t="shared" si="28"/>
        <v>11787.27</v>
      </c>
      <c r="P210" s="58"/>
      <c r="Q210" s="61" t="s">
        <v>336</v>
      </c>
    </row>
    <row r="211" spans="1:18" ht="15.75" customHeight="1" x14ac:dyDescent="0.3">
      <c r="A211" s="5" t="s">
        <v>547</v>
      </c>
      <c r="B211" s="5"/>
      <c r="C211" s="333" t="s">
        <v>627</v>
      </c>
      <c r="D211" s="21">
        <v>175039</v>
      </c>
      <c r="E211" s="13">
        <v>44515</v>
      </c>
      <c r="F211" s="5" t="s">
        <v>88</v>
      </c>
      <c r="G211" s="190">
        <v>2007</v>
      </c>
      <c r="H211" s="125" t="s">
        <v>162</v>
      </c>
      <c r="I211" s="125" t="s">
        <v>309</v>
      </c>
      <c r="J211" s="58">
        <v>5936.5</v>
      </c>
      <c r="K211" s="58"/>
      <c r="L211" s="58">
        <v>1132.68</v>
      </c>
      <c r="M211" s="58"/>
      <c r="N211" s="58">
        <f t="shared" si="27"/>
        <v>7069.18</v>
      </c>
      <c r="O211" s="58">
        <f t="shared" si="28"/>
        <v>7569.18</v>
      </c>
      <c r="P211" s="58">
        <v>7569.18</v>
      </c>
      <c r="Q211" s="61" t="s">
        <v>336</v>
      </c>
    </row>
    <row r="212" spans="1:18" ht="15.75" customHeight="1" x14ac:dyDescent="0.3">
      <c r="A212" t="s">
        <v>659</v>
      </c>
      <c r="C212" s="338" t="s">
        <v>823</v>
      </c>
      <c r="D212" s="74">
        <v>62414</v>
      </c>
      <c r="E212" s="43">
        <v>44776</v>
      </c>
      <c r="F212" t="s">
        <v>843</v>
      </c>
      <c r="G212" s="114" t="s">
        <v>522</v>
      </c>
      <c r="H212" s="114" t="s">
        <v>77</v>
      </c>
      <c r="I212" s="114" t="s">
        <v>138</v>
      </c>
      <c r="J212" s="11">
        <v>15972.7</v>
      </c>
      <c r="K212" s="11"/>
      <c r="L212" s="53">
        <f>455.4+224.5</f>
        <v>679.9</v>
      </c>
      <c r="N212" s="58">
        <f t="shared" si="27"/>
        <v>16652.600000000002</v>
      </c>
      <c r="O212" s="11">
        <f t="shared" si="28"/>
        <v>17152.600000000002</v>
      </c>
      <c r="Q212" t="s">
        <v>1155</v>
      </c>
    </row>
    <row r="213" spans="1:18" ht="15.75" customHeight="1" x14ac:dyDescent="0.3">
      <c r="A213" s="5" t="s">
        <v>547</v>
      </c>
      <c r="B213" s="5"/>
      <c r="C213" s="333" t="s">
        <v>607</v>
      </c>
      <c r="D213" s="21">
        <v>33096</v>
      </c>
      <c r="E213" s="13">
        <v>44460</v>
      </c>
      <c r="F213" s="5" t="s">
        <v>467</v>
      </c>
      <c r="G213" s="190">
        <v>2014</v>
      </c>
      <c r="H213" s="125" t="s">
        <v>450</v>
      </c>
      <c r="I213" s="125" t="s">
        <v>451</v>
      </c>
      <c r="J213" s="58">
        <v>8493.4</v>
      </c>
      <c r="K213" s="58"/>
      <c r="L213" s="58">
        <v>833.29</v>
      </c>
      <c r="M213" s="58"/>
      <c r="N213" s="58">
        <f t="shared" si="27"/>
        <v>9326.6899999999987</v>
      </c>
      <c r="O213" s="58">
        <f t="shared" si="28"/>
        <v>9826.6899999999987</v>
      </c>
      <c r="P213" s="58">
        <v>9000</v>
      </c>
      <c r="Q213" s="10" t="s">
        <v>606</v>
      </c>
    </row>
    <row r="214" spans="1:18" ht="15.75" customHeight="1" x14ac:dyDescent="0.3">
      <c r="A214" s="169" t="s">
        <v>659</v>
      </c>
      <c r="B214" s="169"/>
      <c r="C214" s="338" t="s">
        <v>783</v>
      </c>
      <c r="D214" s="29">
        <v>88802</v>
      </c>
      <c r="E214" s="16">
        <v>44718</v>
      </c>
      <c r="F214" s="12" t="s">
        <v>277</v>
      </c>
      <c r="G214" s="127" t="s">
        <v>280</v>
      </c>
      <c r="H214" s="127" t="s">
        <v>77</v>
      </c>
      <c r="I214" s="127" t="s">
        <v>158</v>
      </c>
      <c r="J214" s="11">
        <v>9350</v>
      </c>
      <c r="K214" s="11"/>
      <c r="L214" s="53">
        <v>529</v>
      </c>
      <c r="N214" s="58">
        <f t="shared" si="27"/>
        <v>9879</v>
      </c>
      <c r="O214" s="11">
        <f t="shared" si="28"/>
        <v>10379</v>
      </c>
      <c r="Q214" t="s">
        <v>311</v>
      </c>
    </row>
    <row r="215" spans="1:18" ht="15.75" customHeight="1" x14ac:dyDescent="0.3">
      <c r="A215" s="25" t="s">
        <v>547</v>
      </c>
      <c r="B215" s="25"/>
      <c r="C215" s="336" t="s">
        <v>781</v>
      </c>
      <c r="D215" s="29">
        <v>80783</v>
      </c>
      <c r="E215" s="16">
        <v>44718</v>
      </c>
      <c r="F215" s="12" t="s">
        <v>277</v>
      </c>
      <c r="G215" s="108" t="s">
        <v>278</v>
      </c>
      <c r="H215" s="108" t="s">
        <v>212</v>
      </c>
      <c r="I215" s="108" t="s">
        <v>359</v>
      </c>
      <c r="J215" s="11">
        <v>5386.55</v>
      </c>
      <c r="K215" s="11"/>
      <c r="L215">
        <v>862.65</v>
      </c>
      <c r="N215" s="58">
        <f t="shared" si="27"/>
        <v>6249.2</v>
      </c>
      <c r="O215" s="11">
        <f t="shared" ref="O215:O220" si="29">SUM(N215+500)</f>
        <v>6749.2</v>
      </c>
      <c r="P215" s="53">
        <v>7909.65</v>
      </c>
      <c r="Q215" t="s">
        <v>573</v>
      </c>
    </row>
    <row r="216" spans="1:18" ht="15.75" customHeight="1" x14ac:dyDescent="0.3">
      <c r="A216" s="249" t="s">
        <v>659</v>
      </c>
      <c r="B216" s="249"/>
      <c r="C216" s="338" t="s">
        <v>826</v>
      </c>
      <c r="D216" s="31">
        <v>110158</v>
      </c>
      <c r="E216" s="41">
        <v>44776</v>
      </c>
      <c r="F216" s="249" t="s">
        <v>843</v>
      </c>
      <c r="G216" s="114" t="s">
        <v>839</v>
      </c>
      <c r="H216" s="114" t="s">
        <v>29</v>
      </c>
      <c r="I216" s="114" t="s">
        <v>217</v>
      </c>
      <c r="J216" s="281">
        <v>7455.8</v>
      </c>
      <c r="K216" s="281">
        <v>379.5</v>
      </c>
      <c r="L216" s="285">
        <f>412.1+722.5-K216</f>
        <v>755.09999999999991</v>
      </c>
      <c r="M216" s="249"/>
      <c r="N216" s="58">
        <f t="shared" si="27"/>
        <v>8590.4</v>
      </c>
      <c r="O216" s="284">
        <f t="shared" si="29"/>
        <v>9090.4</v>
      </c>
      <c r="P216" s="291"/>
      <c r="Q216" s="294" t="s">
        <v>336</v>
      </c>
      <c r="R216" t="s">
        <v>1449</v>
      </c>
    </row>
    <row r="217" spans="1:18" ht="15.75" customHeight="1" x14ac:dyDescent="0.3">
      <c r="A217" s="5" t="s">
        <v>547</v>
      </c>
      <c r="B217" s="5"/>
      <c r="C217" s="333" t="s">
        <v>586</v>
      </c>
      <c r="D217" s="21">
        <v>117312</v>
      </c>
      <c r="E217" s="13">
        <v>44213</v>
      </c>
      <c r="F217" s="5" t="s">
        <v>51</v>
      </c>
      <c r="G217" s="190">
        <v>2012</v>
      </c>
      <c r="H217" s="125" t="s">
        <v>29</v>
      </c>
      <c r="I217" s="125" t="s">
        <v>217</v>
      </c>
      <c r="J217" s="58">
        <v>9208.0499999999993</v>
      </c>
      <c r="K217" s="58"/>
      <c r="L217" s="58">
        <v>1282.18</v>
      </c>
      <c r="M217" s="58"/>
      <c r="N217" s="58">
        <f t="shared" si="27"/>
        <v>10490.23</v>
      </c>
      <c r="O217" s="58">
        <f t="shared" si="29"/>
        <v>10990.23</v>
      </c>
      <c r="P217" s="58">
        <v>9500</v>
      </c>
      <c r="Q217" s="125" t="s">
        <v>336</v>
      </c>
      <c r="R217" s="59"/>
    </row>
    <row r="218" spans="1:18" ht="15.75" customHeight="1" x14ac:dyDescent="0.3">
      <c r="A218" s="142" t="s">
        <v>659</v>
      </c>
      <c r="B218" s="142"/>
      <c r="C218" s="333" t="s">
        <v>688</v>
      </c>
      <c r="D218" s="21">
        <v>79906</v>
      </c>
      <c r="E218" s="13">
        <v>44633</v>
      </c>
      <c r="F218" s="5" t="s">
        <v>228</v>
      </c>
      <c r="G218" s="190">
        <v>2013</v>
      </c>
      <c r="H218" s="125" t="s">
        <v>96</v>
      </c>
      <c r="I218" s="125" t="s">
        <v>383</v>
      </c>
      <c r="J218" s="66">
        <v>16821</v>
      </c>
      <c r="K218" s="66"/>
      <c r="L218" s="66">
        <v>684.25</v>
      </c>
      <c r="M218" s="58"/>
      <c r="N218" s="58">
        <f t="shared" si="27"/>
        <v>17505.25</v>
      </c>
      <c r="O218" s="58">
        <f t="shared" si="29"/>
        <v>18005.25</v>
      </c>
      <c r="P218" s="58">
        <v>16296.4</v>
      </c>
      <c r="Q218" s="276" t="s">
        <v>342</v>
      </c>
    </row>
    <row r="219" spans="1:18" ht="15.75" customHeight="1" x14ac:dyDescent="0.3">
      <c r="A219" s="5" t="s">
        <v>547</v>
      </c>
      <c r="B219" s="5"/>
      <c r="C219" s="333" t="s">
        <v>651</v>
      </c>
      <c r="D219" s="21">
        <v>114097</v>
      </c>
      <c r="E219" s="13">
        <v>44545</v>
      </c>
      <c r="F219" s="5" t="s">
        <v>652</v>
      </c>
      <c r="G219" s="190">
        <v>2011</v>
      </c>
      <c r="H219" s="125" t="s">
        <v>77</v>
      </c>
      <c r="I219" s="125" t="s">
        <v>455</v>
      </c>
      <c r="J219" s="58">
        <v>7649.75</v>
      </c>
      <c r="K219" s="58"/>
      <c r="L219" s="58">
        <v>1794.56</v>
      </c>
      <c r="M219" s="58"/>
      <c r="N219" s="58">
        <f t="shared" si="27"/>
        <v>9444.31</v>
      </c>
      <c r="O219" s="58">
        <f t="shared" si="29"/>
        <v>9944.31</v>
      </c>
      <c r="P219" s="63">
        <v>9300</v>
      </c>
      <c r="Q219" s="277" t="s">
        <v>336</v>
      </c>
    </row>
    <row r="220" spans="1:18" ht="15.75" customHeight="1" x14ac:dyDescent="0.3">
      <c r="A220" s="249" t="s">
        <v>659</v>
      </c>
      <c r="B220" s="249"/>
      <c r="C220" s="336" t="s">
        <v>808</v>
      </c>
      <c r="D220" s="29">
        <v>91837</v>
      </c>
      <c r="E220" s="41">
        <v>44758</v>
      </c>
      <c r="F220" s="249" t="s">
        <v>806</v>
      </c>
      <c r="G220" s="28" t="s">
        <v>280</v>
      </c>
      <c r="H220" s="28" t="s">
        <v>29</v>
      </c>
      <c r="I220" s="28" t="s">
        <v>189</v>
      </c>
      <c r="J220" s="284">
        <v>10163.65</v>
      </c>
      <c r="K220" s="284"/>
      <c r="L220" s="249">
        <v>493.35</v>
      </c>
      <c r="M220" s="249"/>
      <c r="N220" s="58">
        <f t="shared" si="27"/>
        <v>10657</v>
      </c>
      <c r="O220" s="284">
        <f t="shared" si="29"/>
        <v>11157</v>
      </c>
      <c r="P220" s="285">
        <v>10657</v>
      </c>
      <c r="Q220" s="297" t="s">
        <v>336</v>
      </c>
    </row>
    <row r="221" spans="1:18" ht="15.75" customHeight="1" x14ac:dyDescent="0.3">
      <c r="A221" s="142" t="s">
        <v>659</v>
      </c>
      <c r="B221" s="142"/>
      <c r="C221" s="321" t="s">
        <v>684</v>
      </c>
      <c r="D221" s="21">
        <v>113010</v>
      </c>
      <c r="E221" s="13">
        <v>44633</v>
      </c>
      <c r="F221" s="5" t="s">
        <v>200</v>
      </c>
      <c r="G221" s="190">
        <v>2012</v>
      </c>
      <c r="H221" s="125" t="s">
        <v>162</v>
      </c>
      <c r="I221" s="125" t="s">
        <v>685</v>
      </c>
      <c r="J221" s="68">
        <v>13838</v>
      </c>
      <c r="K221" s="68"/>
      <c r="L221" s="68">
        <v>534.75</v>
      </c>
      <c r="M221" s="58">
        <v>921</v>
      </c>
      <c r="N221" s="58">
        <f t="shared" si="27"/>
        <v>13451.75</v>
      </c>
      <c r="O221" s="58">
        <f t="shared" ref="O221:O226" si="30">SUM(N221+500)</f>
        <v>13951.75</v>
      </c>
      <c r="P221" s="69">
        <v>12766.75</v>
      </c>
      <c r="Q221" s="215" t="s">
        <v>573</v>
      </c>
    </row>
    <row r="222" spans="1:18" ht="15.75" customHeight="1" x14ac:dyDescent="0.3">
      <c r="A222" s="146" t="s">
        <v>547</v>
      </c>
      <c r="B222" s="146"/>
      <c r="C222" s="329" t="s">
        <v>758</v>
      </c>
      <c r="D222" s="21">
        <v>60363</v>
      </c>
      <c r="E222" s="13">
        <v>44646</v>
      </c>
      <c r="F222" s="5" t="s">
        <v>759</v>
      </c>
      <c r="G222" s="190">
        <v>2012</v>
      </c>
      <c r="H222" s="125" t="s">
        <v>212</v>
      </c>
      <c r="I222" s="125" t="s">
        <v>359</v>
      </c>
      <c r="J222" s="68">
        <v>7834.2</v>
      </c>
      <c r="K222" s="68"/>
      <c r="L222" s="68">
        <f>824.06+165.69+134.5</f>
        <v>1124.25</v>
      </c>
      <c r="M222" s="58"/>
      <c r="N222" s="58">
        <f t="shared" si="27"/>
        <v>8958.4500000000007</v>
      </c>
      <c r="O222" s="58">
        <f t="shared" si="30"/>
        <v>9458.4500000000007</v>
      </c>
      <c r="P222" s="69">
        <v>7507.26</v>
      </c>
      <c r="Q222" s="215" t="s">
        <v>573</v>
      </c>
      <c r="R222" t="s">
        <v>1459</v>
      </c>
    </row>
    <row r="223" spans="1:18" ht="15.75" customHeight="1" x14ac:dyDescent="0.3">
      <c r="A223" s="5" t="s">
        <v>547</v>
      </c>
      <c r="B223" s="5"/>
      <c r="C223" s="321" t="s">
        <v>741</v>
      </c>
      <c r="D223" s="21">
        <v>119956</v>
      </c>
      <c r="E223" s="13">
        <v>44633</v>
      </c>
      <c r="F223" s="5" t="s">
        <v>211</v>
      </c>
      <c r="G223" s="190">
        <v>2009</v>
      </c>
      <c r="H223" s="125" t="s">
        <v>96</v>
      </c>
      <c r="I223" s="125" t="s">
        <v>224</v>
      </c>
      <c r="J223" s="68">
        <v>10058</v>
      </c>
      <c r="K223" s="68"/>
      <c r="L223" s="68">
        <v>763.34</v>
      </c>
      <c r="M223" s="58">
        <v>921</v>
      </c>
      <c r="N223" s="58">
        <f t="shared" si="27"/>
        <v>9900.34</v>
      </c>
      <c r="O223" s="58">
        <f t="shared" si="30"/>
        <v>10400.34</v>
      </c>
      <c r="P223" s="69">
        <v>10400.34</v>
      </c>
      <c r="Q223" s="215" t="s">
        <v>573</v>
      </c>
      <c r="R223" t="s">
        <v>1460</v>
      </c>
    </row>
    <row r="224" spans="1:18" ht="15.75" customHeight="1" x14ac:dyDescent="0.3">
      <c r="A224" s="5" t="s">
        <v>547</v>
      </c>
      <c r="B224" s="5"/>
      <c r="C224" s="333" t="s">
        <v>703</v>
      </c>
      <c r="D224" s="21">
        <v>88230</v>
      </c>
      <c r="E224" s="13">
        <v>44633</v>
      </c>
      <c r="F224" s="5" t="s">
        <v>228</v>
      </c>
      <c r="G224" s="190">
        <v>2007</v>
      </c>
      <c r="H224" s="125" t="s">
        <v>29</v>
      </c>
      <c r="I224" s="125" t="s">
        <v>30</v>
      </c>
      <c r="J224" s="66">
        <v>7347</v>
      </c>
      <c r="K224" s="66"/>
      <c r="L224" s="66">
        <v>1021.68</v>
      </c>
      <c r="M224" s="58"/>
      <c r="N224" s="58">
        <f t="shared" si="27"/>
        <v>8368.68</v>
      </c>
      <c r="O224" s="58">
        <f t="shared" si="30"/>
        <v>8868.68</v>
      </c>
      <c r="P224" s="58">
        <v>7775.18</v>
      </c>
      <c r="Q224" s="276" t="s">
        <v>342</v>
      </c>
      <c r="R224" s="60" t="s">
        <v>1555</v>
      </c>
    </row>
    <row r="225" spans="1:21" ht="15.75" customHeight="1" x14ac:dyDescent="0.3">
      <c r="A225" s="5" t="s">
        <v>547</v>
      </c>
      <c r="B225" s="5"/>
      <c r="C225" s="333" t="s">
        <v>587</v>
      </c>
      <c r="D225" s="21">
        <v>79676</v>
      </c>
      <c r="E225" s="13">
        <v>44213</v>
      </c>
      <c r="F225" s="5" t="s">
        <v>43</v>
      </c>
      <c r="G225" s="190">
        <v>2009</v>
      </c>
      <c r="H225" s="125" t="s">
        <v>212</v>
      </c>
      <c r="I225" s="125" t="s">
        <v>588</v>
      </c>
      <c r="J225" s="63">
        <v>7190.95</v>
      </c>
      <c r="K225" s="63"/>
      <c r="L225" s="63">
        <v>2419.31</v>
      </c>
      <c r="M225" s="58"/>
      <c r="N225" s="58">
        <f t="shared" si="27"/>
        <v>9610.26</v>
      </c>
      <c r="O225" s="58">
        <f t="shared" si="30"/>
        <v>10110.26</v>
      </c>
      <c r="P225" s="292">
        <v>7190.95</v>
      </c>
      <c r="Q225" s="293" t="s">
        <v>573</v>
      </c>
      <c r="R225" t="s">
        <v>1556</v>
      </c>
    </row>
    <row r="226" spans="1:21" ht="15.75" customHeight="1" x14ac:dyDescent="0.3">
      <c r="A226" s="186" t="s">
        <v>659</v>
      </c>
      <c r="B226" s="186"/>
      <c r="C226" s="336" t="s">
        <v>790</v>
      </c>
      <c r="D226" s="29">
        <v>69621</v>
      </c>
      <c r="E226" s="16">
        <v>44718</v>
      </c>
      <c r="F226" s="22" t="s">
        <v>277</v>
      </c>
      <c r="G226" s="127" t="s">
        <v>287</v>
      </c>
      <c r="H226" s="127" t="s">
        <v>123</v>
      </c>
      <c r="I226" s="127" t="s">
        <v>206</v>
      </c>
      <c r="J226" s="281">
        <v>11633</v>
      </c>
      <c r="K226" s="281"/>
      <c r="L226" s="286">
        <f>718.35+120+313.2</f>
        <v>1151.55</v>
      </c>
      <c r="M226" s="249"/>
      <c r="N226" s="58">
        <f t="shared" si="27"/>
        <v>12784.55</v>
      </c>
      <c r="O226" s="284">
        <f t="shared" si="30"/>
        <v>13284.55</v>
      </c>
      <c r="P226" s="289">
        <v>12351.35</v>
      </c>
      <c r="Q226" s="294" t="s">
        <v>573</v>
      </c>
      <c r="R226" t="s">
        <v>1557</v>
      </c>
    </row>
    <row r="227" spans="1:21" ht="15.75" customHeight="1" x14ac:dyDescent="0.3">
      <c r="A227" s="5" t="s">
        <v>547</v>
      </c>
      <c r="B227" s="5"/>
      <c r="C227" s="321" t="s">
        <v>581</v>
      </c>
      <c r="D227" s="21">
        <v>145458</v>
      </c>
      <c r="E227" s="13">
        <v>44213</v>
      </c>
      <c r="F227" s="5" t="s">
        <v>48</v>
      </c>
      <c r="G227" s="190">
        <v>2007</v>
      </c>
      <c r="H227" s="125" t="s">
        <v>96</v>
      </c>
      <c r="I227" s="125" t="s">
        <v>97</v>
      </c>
      <c r="J227" s="58">
        <v>5853.5</v>
      </c>
      <c r="K227" s="58"/>
      <c r="L227" s="58">
        <v>2310.61</v>
      </c>
      <c r="M227" s="58"/>
      <c r="N227" s="58">
        <f t="shared" si="27"/>
        <v>8164.1100000000006</v>
      </c>
      <c r="O227" s="58">
        <f t="shared" ref="O227:O237" si="31">SUM(N227+500)</f>
        <v>8664.11</v>
      </c>
      <c r="P227" s="58">
        <v>7500</v>
      </c>
      <c r="Q227" s="125" t="s">
        <v>336</v>
      </c>
    </row>
    <row r="228" spans="1:21" ht="15.75" customHeight="1" x14ac:dyDescent="0.3">
      <c r="A228" s="143" t="s">
        <v>547</v>
      </c>
      <c r="B228" s="143"/>
      <c r="C228" s="321" t="s">
        <v>674</v>
      </c>
      <c r="D228" s="21">
        <v>119212</v>
      </c>
      <c r="E228" s="13">
        <v>44613</v>
      </c>
      <c r="F228" s="130" t="s">
        <v>187</v>
      </c>
      <c r="G228" s="316">
        <v>2013</v>
      </c>
      <c r="H228" s="122" t="s">
        <v>49</v>
      </c>
      <c r="I228" s="122" t="s">
        <v>119</v>
      </c>
      <c r="J228" s="283">
        <v>11090</v>
      </c>
      <c r="K228" s="283"/>
      <c r="L228" s="283">
        <v>1278.1199999999999</v>
      </c>
      <c r="M228" s="283">
        <v>921</v>
      </c>
      <c r="N228" s="58">
        <f t="shared" si="27"/>
        <v>11447.119999999999</v>
      </c>
      <c r="O228" s="283">
        <f t="shared" si="31"/>
        <v>11947.119999999999</v>
      </c>
      <c r="P228" s="283"/>
      <c r="Q228" s="295" t="s">
        <v>311</v>
      </c>
      <c r="R228" s="299"/>
      <c r="S228" s="299" t="s">
        <v>600</v>
      </c>
      <c r="T228" s="12"/>
      <c r="U228" s="12"/>
    </row>
    <row r="229" spans="1:21" ht="15.75" customHeight="1" x14ac:dyDescent="0.3">
      <c r="A229" s="5" t="s">
        <v>547</v>
      </c>
      <c r="B229" s="5"/>
      <c r="C229" s="333" t="s">
        <v>711</v>
      </c>
      <c r="D229" s="21">
        <v>111535</v>
      </c>
      <c r="E229" s="13">
        <v>44633</v>
      </c>
      <c r="F229" s="5" t="s">
        <v>228</v>
      </c>
      <c r="G229" s="190">
        <v>2009</v>
      </c>
      <c r="H229" s="125" t="s">
        <v>16</v>
      </c>
      <c r="I229" s="125" t="s">
        <v>17</v>
      </c>
      <c r="J229" s="68">
        <v>8791</v>
      </c>
      <c r="K229" s="68"/>
      <c r="L229" s="68">
        <v>1152.99</v>
      </c>
      <c r="M229" s="58"/>
      <c r="N229" s="58">
        <f t="shared" si="27"/>
        <v>9943.99</v>
      </c>
      <c r="O229" s="58">
        <f t="shared" si="31"/>
        <v>10443.99</v>
      </c>
      <c r="P229" s="69">
        <v>9461.49</v>
      </c>
      <c r="Q229" s="215" t="s">
        <v>573</v>
      </c>
      <c r="R229" t="s">
        <v>1459</v>
      </c>
    </row>
    <row r="230" spans="1:21" ht="15.75" customHeight="1" x14ac:dyDescent="0.3">
      <c r="A230" s="249" t="s">
        <v>659</v>
      </c>
      <c r="B230" s="249"/>
      <c r="C230" s="336" t="s">
        <v>807</v>
      </c>
      <c r="D230" s="29">
        <v>72271</v>
      </c>
      <c r="E230" s="41">
        <v>44758</v>
      </c>
      <c r="F230" s="249" t="s">
        <v>806</v>
      </c>
      <c r="G230" s="127" t="s">
        <v>280</v>
      </c>
      <c r="H230" s="127" t="s">
        <v>49</v>
      </c>
      <c r="I230" s="127" t="s">
        <v>511</v>
      </c>
      <c r="J230" s="284">
        <v>10998.55</v>
      </c>
      <c r="K230" s="284"/>
      <c r="L230" s="249">
        <f>512.4+100.05</f>
        <v>612.44999999999993</v>
      </c>
      <c r="M230" s="249"/>
      <c r="N230" s="58">
        <f t="shared" si="27"/>
        <v>11611</v>
      </c>
      <c r="O230" s="284">
        <f t="shared" si="31"/>
        <v>12111</v>
      </c>
      <c r="P230" s="286"/>
      <c r="Q230" s="297" t="s">
        <v>336</v>
      </c>
      <c r="R230" t="s">
        <v>1623</v>
      </c>
    </row>
    <row r="231" spans="1:21" ht="15.75" customHeight="1" x14ac:dyDescent="0.3">
      <c r="A231" s="5" t="s">
        <v>547</v>
      </c>
      <c r="B231" s="5"/>
      <c r="C231" s="333" t="s">
        <v>631</v>
      </c>
      <c r="D231" s="21">
        <v>104936</v>
      </c>
      <c r="E231" s="13">
        <v>44515</v>
      </c>
      <c r="F231" s="5" t="s">
        <v>88</v>
      </c>
      <c r="G231" s="190">
        <v>2011</v>
      </c>
      <c r="H231" s="125" t="s">
        <v>21</v>
      </c>
      <c r="I231" s="125" t="s">
        <v>109</v>
      </c>
      <c r="J231" s="63">
        <v>9015.0499999999993</v>
      </c>
      <c r="K231" s="63"/>
      <c r="L231" s="63">
        <v>1758.16</v>
      </c>
      <c r="M231" s="58"/>
      <c r="N231" s="58">
        <f t="shared" si="27"/>
        <v>10773.21</v>
      </c>
      <c r="O231" s="58">
        <f t="shared" si="31"/>
        <v>11273.21</v>
      </c>
      <c r="P231" s="69">
        <v>9622.2099999999991</v>
      </c>
      <c r="Q231" s="293" t="s">
        <v>573</v>
      </c>
      <c r="R231" s="122" t="s">
        <v>1205</v>
      </c>
    </row>
    <row r="232" spans="1:21" ht="15.75" customHeight="1" x14ac:dyDescent="0.3">
      <c r="A232" s="5" t="s">
        <v>547</v>
      </c>
      <c r="B232" s="5"/>
      <c r="C232" s="321" t="s">
        <v>589</v>
      </c>
      <c r="D232" s="21">
        <v>131700</v>
      </c>
      <c r="E232" s="13">
        <v>44236</v>
      </c>
      <c r="F232" s="5" t="s">
        <v>62</v>
      </c>
      <c r="G232" s="190">
        <v>2009</v>
      </c>
      <c r="H232" s="125" t="s">
        <v>29</v>
      </c>
      <c r="I232" s="125" t="s">
        <v>341</v>
      </c>
      <c r="J232" s="58">
        <v>5988.05</v>
      </c>
      <c r="K232" s="58"/>
      <c r="L232" s="58">
        <v>784.81</v>
      </c>
      <c r="M232" s="58"/>
      <c r="N232" s="58">
        <f t="shared" ref="N232:N237" si="32">SUM(J232+K232+L232-M232)</f>
        <v>6772.8600000000006</v>
      </c>
      <c r="O232" s="58">
        <f t="shared" si="31"/>
        <v>7272.8600000000006</v>
      </c>
      <c r="P232" s="58">
        <v>6772.86</v>
      </c>
      <c r="Q232" s="125" t="s">
        <v>342</v>
      </c>
    </row>
    <row r="233" spans="1:21" ht="15.75" customHeight="1" x14ac:dyDescent="0.3">
      <c r="A233" s="279" t="s">
        <v>547</v>
      </c>
      <c r="B233" s="279"/>
      <c r="C233" s="329" t="s">
        <v>765</v>
      </c>
      <c r="D233" s="23">
        <v>101390</v>
      </c>
      <c r="E233" s="262">
        <v>44673</v>
      </c>
      <c r="F233" s="130" t="s">
        <v>766</v>
      </c>
      <c r="G233" s="268">
        <v>2013</v>
      </c>
      <c r="H233" s="25" t="s">
        <v>16</v>
      </c>
      <c r="I233" s="25" t="s">
        <v>234</v>
      </c>
      <c r="J233" s="11">
        <v>14528</v>
      </c>
      <c r="K233" s="11"/>
      <c r="L233" s="11">
        <v>1325.75</v>
      </c>
      <c r="M233" s="11"/>
      <c r="N233" s="58">
        <f t="shared" si="32"/>
        <v>15853.75</v>
      </c>
      <c r="O233" s="11">
        <f t="shared" si="31"/>
        <v>16353.75</v>
      </c>
      <c r="P233" s="11"/>
      <c r="Q233" s="278" t="s">
        <v>311</v>
      </c>
      <c r="R233" s="15"/>
      <c r="S233" s="12" t="s">
        <v>767</v>
      </c>
    </row>
    <row r="234" spans="1:21" ht="15.75" customHeight="1" x14ac:dyDescent="0.3">
      <c r="A234" s="185" t="s">
        <v>659</v>
      </c>
      <c r="B234" s="185"/>
      <c r="C234" s="329" t="s">
        <v>764</v>
      </c>
      <c r="D234" s="23">
        <v>40413</v>
      </c>
      <c r="E234" s="262">
        <v>44662</v>
      </c>
      <c r="F234" s="118" t="s">
        <v>372</v>
      </c>
      <c r="G234" s="268">
        <v>2016</v>
      </c>
      <c r="H234" s="25" t="s">
        <v>77</v>
      </c>
      <c r="I234" s="25" t="s">
        <v>158</v>
      </c>
      <c r="J234" s="11">
        <v>13270</v>
      </c>
      <c r="K234" s="11"/>
      <c r="L234" s="11">
        <v>681.95</v>
      </c>
      <c r="M234" s="11"/>
      <c r="N234" s="58">
        <f t="shared" si="32"/>
        <v>13951.95</v>
      </c>
      <c r="O234" s="11">
        <f t="shared" si="31"/>
        <v>14451.95</v>
      </c>
      <c r="P234" s="11"/>
      <c r="Q234" s="278" t="s">
        <v>311</v>
      </c>
      <c r="R234" s="15"/>
      <c r="S234" s="12" t="s">
        <v>73</v>
      </c>
    </row>
    <row r="235" spans="1:21" ht="15.75" customHeight="1" x14ac:dyDescent="0.3">
      <c r="A235" s="249" t="s">
        <v>659</v>
      </c>
      <c r="B235" s="249"/>
      <c r="C235" s="338" t="s">
        <v>830</v>
      </c>
      <c r="D235" s="31">
        <v>105562</v>
      </c>
      <c r="E235" s="41">
        <v>44776</v>
      </c>
      <c r="F235" s="249" t="s">
        <v>843</v>
      </c>
      <c r="G235" s="114" t="s">
        <v>278</v>
      </c>
      <c r="H235" s="114" t="s">
        <v>49</v>
      </c>
      <c r="I235" s="114" t="s">
        <v>841</v>
      </c>
      <c r="J235" s="281">
        <v>7376.45</v>
      </c>
      <c r="K235" s="281"/>
      <c r="L235" s="285">
        <f>531.3+1399.55</f>
        <v>1930.85</v>
      </c>
      <c r="M235" s="249"/>
      <c r="N235" s="58">
        <f t="shared" si="32"/>
        <v>9307.2999999999993</v>
      </c>
      <c r="O235" s="284">
        <f t="shared" si="31"/>
        <v>9807.2999999999993</v>
      </c>
      <c r="P235" s="291"/>
      <c r="Q235" s="294" t="s">
        <v>336</v>
      </c>
      <c r="R235" t="s">
        <v>1288</v>
      </c>
    </row>
    <row r="236" spans="1:21" ht="15.75" customHeight="1" x14ac:dyDescent="0.3">
      <c r="A236" s="169" t="s">
        <v>659</v>
      </c>
      <c r="B236" s="169"/>
      <c r="C236" s="335" t="s">
        <v>770</v>
      </c>
      <c r="D236" s="23">
        <v>37990</v>
      </c>
      <c r="E236" s="262">
        <v>44673</v>
      </c>
      <c r="F236" s="17" t="s">
        <v>766</v>
      </c>
      <c r="G236" s="268">
        <v>2012</v>
      </c>
      <c r="H236" s="25" t="s">
        <v>29</v>
      </c>
      <c r="I236" s="25" t="s">
        <v>189</v>
      </c>
      <c r="J236" s="11">
        <v>10565.99</v>
      </c>
      <c r="K236" s="11"/>
      <c r="L236" s="11">
        <v>691.41</v>
      </c>
      <c r="M236" s="11"/>
      <c r="N236" s="58">
        <f t="shared" si="32"/>
        <v>11257.4</v>
      </c>
      <c r="O236" s="11">
        <f t="shared" si="31"/>
        <v>11757.4</v>
      </c>
      <c r="P236" s="11"/>
      <c r="Q236" s="278" t="s">
        <v>311</v>
      </c>
    </row>
    <row r="237" spans="1:21" ht="15.75" customHeight="1" x14ac:dyDescent="0.3">
      <c r="A237" t="s">
        <v>547</v>
      </c>
      <c r="C237" s="235" t="s">
        <v>1610</v>
      </c>
      <c r="G237" s="37" t="s">
        <v>508</v>
      </c>
      <c r="H237" s="37" t="s">
        <v>96</v>
      </c>
      <c r="I237" s="37" t="s">
        <v>100</v>
      </c>
      <c r="J237" s="103">
        <v>10532</v>
      </c>
      <c r="L237" s="103">
        <v>1327.25</v>
      </c>
      <c r="N237" s="388">
        <f t="shared" si="32"/>
        <v>11859.25</v>
      </c>
      <c r="O237" s="103">
        <f t="shared" si="31"/>
        <v>12359.25</v>
      </c>
      <c r="Q237" s="389" t="s">
        <v>573</v>
      </c>
      <c r="R237" t="s">
        <v>1611</v>
      </c>
    </row>
    <row r="238" spans="1:21" ht="15.75" customHeight="1" x14ac:dyDescent="0.3">
      <c r="A238" s="143" t="s">
        <v>547</v>
      </c>
      <c r="B238" s="143"/>
      <c r="C238" s="321" t="s">
        <v>746</v>
      </c>
      <c r="D238" s="21">
        <v>118679</v>
      </c>
      <c r="E238" s="13">
        <v>44633</v>
      </c>
      <c r="F238" s="5" t="s">
        <v>211</v>
      </c>
      <c r="G238" s="190">
        <v>2012</v>
      </c>
      <c r="H238" s="125" t="s">
        <v>29</v>
      </c>
      <c r="I238" s="125" t="s">
        <v>217</v>
      </c>
      <c r="J238" s="66">
        <v>9470.75</v>
      </c>
      <c r="K238" s="66"/>
      <c r="L238" s="66">
        <v>648.6</v>
      </c>
      <c r="M238" s="58"/>
      <c r="N238" s="58">
        <f t="shared" ref="N238:N243" si="33">SUM(J238+K238+L238-M238)</f>
        <v>10119.35</v>
      </c>
      <c r="O238" s="58">
        <f t="shared" ref="O238:O243" si="34">SUM(N238+500)</f>
        <v>10619.35</v>
      </c>
      <c r="P238" s="63">
        <v>11165</v>
      </c>
      <c r="Q238" s="277" t="s">
        <v>336</v>
      </c>
    </row>
    <row r="239" spans="1:21" ht="15.75" customHeight="1" x14ac:dyDescent="0.3">
      <c r="A239" s="130" t="s">
        <v>547</v>
      </c>
      <c r="B239" s="130"/>
      <c r="C239" s="321" t="s">
        <v>726</v>
      </c>
      <c r="D239" s="21">
        <v>90554</v>
      </c>
      <c r="E239" s="13">
        <v>44633</v>
      </c>
      <c r="F239" s="130" t="s">
        <v>211</v>
      </c>
      <c r="G239" s="190">
        <v>2007</v>
      </c>
      <c r="H239" s="125" t="s">
        <v>49</v>
      </c>
      <c r="I239" s="125" t="s">
        <v>52</v>
      </c>
      <c r="J239" s="282">
        <v>9968</v>
      </c>
      <c r="K239" s="282"/>
      <c r="L239" s="282">
        <v>1608.74</v>
      </c>
      <c r="M239" s="283"/>
      <c r="N239" s="58">
        <f t="shared" si="33"/>
        <v>11576.74</v>
      </c>
      <c r="O239" s="283">
        <f t="shared" si="34"/>
        <v>12076.74</v>
      </c>
      <c r="P239" s="283"/>
      <c r="Q239" s="295" t="s">
        <v>311</v>
      </c>
      <c r="R239" s="67"/>
      <c r="S239" s="12" t="s">
        <v>600</v>
      </c>
    </row>
    <row r="240" spans="1:21" ht="15.75" customHeight="1" x14ac:dyDescent="0.3">
      <c r="A240" s="5" t="s">
        <v>547</v>
      </c>
      <c r="B240" s="5"/>
      <c r="C240" s="321" t="s">
        <v>610</v>
      </c>
      <c r="D240" s="21">
        <v>91762</v>
      </c>
      <c r="E240" s="13">
        <v>44460</v>
      </c>
      <c r="F240" s="5" t="s">
        <v>470</v>
      </c>
      <c r="G240" s="190">
        <v>2010</v>
      </c>
      <c r="H240" s="125" t="s">
        <v>77</v>
      </c>
      <c r="I240" s="125" t="s">
        <v>78</v>
      </c>
      <c r="J240" s="58">
        <v>5401.05</v>
      </c>
      <c r="K240" s="58"/>
      <c r="L240" s="58">
        <v>684.25</v>
      </c>
      <c r="M240" s="58"/>
      <c r="N240" s="58">
        <f t="shared" si="33"/>
        <v>6085.3</v>
      </c>
      <c r="O240" s="58">
        <f t="shared" si="34"/>
        <v>6585.3</v>
      </c>
      <c r="P240" s="58"/>
      <c r="Q240" s="125" t="s">
        <v>336</v>
      </c>
    </row>
    <row r="241" spans="1:17" ht="15.75" customHeight="1" x14ac:dyDescent="0.3">
      <c r="A241" t="s">
        <v>659</v>
      </c>
      <c r="C241" s="330" t="s">
        <v>796</v>
      </c>
      <c r="D241" s="280">
        <v>68430</v>
      </c>
      <c r="E241" t="s">
        <v>290</v>
      </c>
      <c r="F241" t="s">
        <v>275</v>
      </c>
      <c r="G241" s="128" t="s">
        <v>287</v>
      </c>
      <c r="H241" s="128" t="s">
        <v>212</v>
      </c>
      <c r="I241" s="128" t="s">
        <v>284</v>
      </c>
      <c r="J241" s="11">
        <v>5926</v>
      </c>
      <c r="K241" s="11"/>
      <c r="L241">
        <v>626.75</v>
      </c>
      <c r="N241" s="58">
        <f t="shared" si="33"/>
        <v>6552.75</v>
      </c>
      <c r="O241" s="11">
        <f t="shared" si="34"/>
        <v>7052.75</v>
      </c>
      <c r="Q241" s="108" t="s">
        <v>311</v>
      </c>
    </row>
    <row r="242" spans="1:17" ht="15.75" customHeight="1" x14ac:dyDescent="0.3">
      <c r="A242" s="5" t="s">
        <v>547</v>
      </c>
      <c r="B242" s="5"/>
      <c r="C242" s="321" t="s">
        <v>633</v>
      </c>
      <c r="D242" s="21">
        <v>72506</v>
      </c>
      <c r="E242" s="13">
        <v>44515</v>
      </c>
      <c r="F242" s="5" t="s">
        <v>81</v>
      </c>
      <c r="G242" s="190">
        <v>2009</v>
      </c>
      <c r="H242" s="125" t="s">
        <v>29</v>
      </c>
      <c r="I242" s="125" t="s">
        <v>341</v>
      </c>
      <c r="J242" s="63">
        <v>7993.85</v>
      </c>
      <c r="K242" s="63"/>
      <c r="L242" s="63">
        <v>1171.98</v>
      </c>
      <c r="M242" s="58"/>
      <c r="N242" s="58">
        <f t="shared" si="33"/>
        <v>9165.83</v>
      </c>
      <c r="O242" s="58">
        <f t="shared" si="34"/>
        <v>9665.83</v>
      </c>
      <c r="P242" s="69">
        <v>8244.83</v>
      </c>
      <c r="Q242" s="215" t="s">
        <v>573</v>
      </c>
    </row>
    <row r="243" spans="1:17" ht="15.75" customHeight="1" x14ac:dyDescent="0.3">
      <c r="A243" s="249" t="s">
        <v>659</v>
      </c>
      <c r="B243" s="249"/>
      <c r="C243" s="336" t="s">
        <v>811</v>
      </c>
      <c r="D243" s="29">
        <v>73122</v>
      </c>
      <c r="E243" s="41">
        <v>44758</v>
      </c>
      <c r="F243" s="249" t="s">
        <v>806</v>
      </c>
      <c r="G243" s="127" t="s">
        <v>522</v>
      </c>
      <c r="H243" s="127" t="s">
        <v>29</v>
      </c>
      <c r="I243" s="127" t="s">
        <v>189</v>
      </c>
      <c r="J243" s="284">
        <v>11050.3</v>
      </c>
      <c r="K243" s="284"/>
      <c r="L243" s="287">
        <v>1280.99</v>
      </c>
      <c r="M243" s="249"/>
      <c r="N243" s="58">
        <f t="shared" si="33"/>
        <v>12331.289999999999</v>
      </c>
      <c r="O243" s="284">
        <f t="shared" si="34"/>
        <v>12831.289999999999</v>
      </c>
      <c r="P243" s="286"/>
      <c r="Q243" s="297" t="s">
        <v>336</v>
      </c>
    </row>
    <row r="244" spans="1:17" ht="15.75" customHeight="1" x14ac:dyDescent="0.3"/>
    <row r="245" spans="1:17" ht="15.75" customHeight="1" x14ac:dyDescent="0.3">
      <c r="C245" s="371" t="s">
        <v>1574</v>
      </c>
      <c r="G245" s="114" t="s">
        <v>278</v>
      </c>
      <c r="H245" s="114" t="s">
        <v>49</v>
      </c>
      <c r="I245" s="114" t="s">
        <v>445</v>
      </c>
    </row>
    <row r="246" spans="1:17" ht="15.75" customHeight="1" x14ac:dyDescent="0.3"/>
    <row r="247" spans="1:17" ht="15.75" customHeight="1" x14ac:dyDescent="0.3"/>
    <row r="248" spans="1:17" ht="15.75" customHeight="1" x14ac:dyDescent="0.3"/>
    <row r="249" spans="1:17" ht="15.75" customHeight="1" x14ac:dyDescent="0.3"/>
    <row r="250" spans="1:17" ht="15.75" customHeight="1" x14ac:dyDescent="0.3"/>
    <row r="251" spans="1:17" ht="15.75" customHeight="1" x14ac:dyDescent="0.3"/>
    <row r="252" spans="1:17" ht="15.75" customHeight="1" x14ac:dyDescent="0.3"/>
    <row r="253" spans="1:17" ht="15.75" customHeight="1" x14ac:dyDescent="0.3"/>
    <row r="254" spans="1:17" ht="15.75" customHeight="1" x14ac:dyDescent="0.3"/>
    <row r="255" spans="1:17" ht="15.75" customHeight="1" x14ac:dyDescent="0.3"/>
    <row r="256" spans="1:17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</sheetData>
  <autoFilter ref="A1:S160" xr:uid="{313C7747-333F-4A9C-90BB-BDE86F92207E}">
    <sortState xmlns:xlrd2="http://schemas.microsoft.com/office/spreadsheetml/2017/richdata2" ref="A2:S160">
      <sortCondition ref="A1:A160"/>
    </sortState>
  </autoFilter>
  <hyperlinks>
    <hyperlink ref="C57" r:id="rId1" xr:uid="{63AC37D3-83A8-46EC-A073-2570BB97C773}"/>
    <hyperlink ref="C73" r:id="rId2" xr:uid="{CB21788F-2E6A-4912-AAC0-A2727656185A}"/>
    <hyperlink ref="C133" r:id="rId3" xr:uid="{F101F6AE-6F7B-4A17-8F6F-DF852A97E0A0}"/>
    <hyperlink ref="C74" r:id="rId4" xr:uid="{AA236F30-1B28-4291-A606-9F61E95C3B07}"/>
    <hyperlink ref="C75" r:id="rId5" xr:uid="{1336DF00-E349-4E39-9F01-8B028236C88F}"/>
    <hyperlink ref="C76" r:id="rId6" xr:uid="{BE03E2FE-3EFD-47B1-B211-F3ADD20508AB}"/>
    <hyperlink ref="C134" r:id="rId7" xr:uid="{14DE87E7-E4FE-4FBA-9A7B-D31228CACB05}"/>
    <hyperlink ref="C170" r:id="rId8" xr:uid="{FE414AE3-6BFE-4D84-89CE-0F4406525E45}"/>
    <hyperlink ref="C171" r:id="rId9" xr:uid="{BE6CAF0C-5067-40AD-ACA3-8E0C3BF6DD42}"/>
    <hyperlink ref="C77" r:id="rId10" xr:uid="{CDD4A9E8-2DA9-4FBD-8553-8B11C32735B0}"/>
    <hyperlink ref="C78" r:id="rId11" xr:uid="{74877272-0C94-4DE3-997A-D740647A5945}"/>
    <hyperlink ref="C115" r:id="rId12" xr:uid="{BF6A958B-1E69-4A40-8F2C-E831C2E6DD97}"/>
    <hyperlink ref="C79" r:id="rId13" xr:uid="{8AA4F384-C03A-472A-80A1-8E7AB4CBEFBF}"/>
    <hyperlink ref="C80" r:id="rId14" xr:uid="{7644A8FA-205A-4686-A522-ECB3BF9523DD}"/>
    <hyperlink ref="C81" r:id="rId15" xr:uid="{F1604EB0-0C3A-497D-BE37-8F936FC3A21A}"/>
    <hyperlink ref="C172" r:id="rId16" xr:uid="{625A2A1B-1C0D-4935-B715-FCC08671C0D2}"/>
    <hyperlink ref="C61" r:id="rId17" xr:uid="{EFEA68D6-7736-4D3B-85F8-6D674D2E5A25}"/>
    <hyperlink ref="C82" r:id="rId18" xr:uid="{32E9D776-2722-42E7-BE3B-8B28A983FF18}"/>
    <hyperlink ref="C204" r:id="rId19" xr:uid="{52102F80-E14A-4141-B078-7E234601A6CF}"/>
    <hyperlink ref="C227" r:id="rId20" xr:uid="{26620148-38F4-4C76-BFC0-DBDDFAD8972C}"/>
    <hyperlink ref="C83" r:id="rId21" xr:uid="{CC4937E0-4671-475D-AC66-0D160FE4F42D}"/>
    <hyperlink ref="C84" r:id="rId22" xr:uid="{C64D8A02-1FC9-4250-BC49-A0174DA08C97}"/>
    <hyperlink ref="C62" r:id="rId23" xr:uid="{A1538326-96B8-43F4-A4B0-E25DE396E56D}"/>
    <hyperlink ref="C217" r:id="rId24" xr:uid="{D6FC3B11-0F8C-4462-AF1E-D6B161C27572}"/>
    <hyperlink ref="C225" r:id="rId25" xr:uid="{BC3A18DF-6D2C-4B16-B9C6-942A5E5A0D1E}"/>
    <hyperlink ref="C232" r:id="rId26" xr:uid="{094B74DA-8419-4B05-8B2D-A1078C5F0E41}"/>
    <hyperlink ref="C85" r:id="rId27" xr:uid="{EEC6D4C6-EA04-4E81-AAD7-19C265FC4810}"/>
    <hyperlink ref="C86" r:id="rId28" xr:uid="{875338D2-820A-4617-B645-A7FB1A72EFF7}"/>
    <hyperlink ref="C87" r:id="rId29" xr:uid="{FBEA1734-3033-4725-9092-E900BF632950}"/>
    <hyperlink ref="C88" r:id="rId30" xr:uid="{391D6288-CE71-42D7-A291-4C9D85995305}"/>
    <hyperlink ref="C89" r:id="rId31" xr:uid="{81178885-0D46-4EC7-B49C-3E466BED7B0E}"/>
    <hyperlink ref="C90" r:id="rId32" xr:uid="{2D7B8B77-0F4E-4747-AB61-80EBF83DCEF1}"/>
    <hyperlink ref="C91" r:id="rId33" xr:uid="{667B373D-2C1B-4A65-B0A6-DCF80C94E724}"/>
    <hyperlink ref="C92" r:id="rId34" xr:uid="{D7B35EBA-2218-497F-8DBE-D039BBD4FE87}"/>
    <hyperlink ref="C173" r:id="rId35" xr:uid="{FDD07210-1EDB-464A-9351-036CED44D263}"/>
    <hyperlink ref="C240" r:id="rId36" xr:uid="{1356914F-8AE3-450D-BB03-1D5C13A8306F}"/>
    <hyperlink ref="C93" r:id="rId37" xr:uid="{5EC1F76C-65BD-4F71-8845-547E5350D592}"/>
    <hyperlink ref="C63" r:id="rId38" xr:uid="{583A64ED-3B0D-4469-9C42-67FFC77EB6DB}"/>
    <hyperlink ref="C95" r:id="rId39" xr:uid="{279AD1B9-4B20-45BF-8E2A-B1DD57F319AD}"/>
    <hyperlink ref="C174" r:id="rId40" xr:uid="{86FCA61B-C58D-4B48-9E60-43B0A7551C6C}"/>
    <hyperlink ref="C96" r:id="rId41" xr:uid="{FC3980D7-D14A-4C69-9525-1AF920FFAF87}"/>
    <hyperlink ref="C97" r:id="rId42" xr:uid="{06AC9079-5A3D-4404-B74A-2E1F44ECBDB8}"/>
    <hyperlink ref="C98" r:id="rId43" xr:uid="{AF89C873-3AE1-4CFB-89BE-8A7794178DBF}"/>
    <hyperlink ref="C104" r:id="rId44" xr:uid="{890819D2-F8E8-4F13-B275-5A2F251F7529}"/>
    <hyperlink ref="C7" r:id="rId45" xr:uid="{96498B94-5EE6-4A8A-9590-9FC49538F8BE}"/>
    <hyperlink ref="C136" r:id="rId46" xr:uid="{61914F05-3B06-431E-8D48-28CD47429FE3}"/>
    <hyperlink ref="C228" r:id="rId47" xr:uid="{F14B8FE6-3BBC-41EC-B130-1390FC26971C}"/>
    <hyperlink ref="C109" r:id="rId48" xr:uid="{5C9DC018-C9E4-4540-9ED5-DEFD65DC4E58}"/>
    <hyperlink ref="C2" r:id="rId49" xr:uid="{46E4DE6F-14F2-4AB8-9452-BF52A6ACB7A1}"/>
    <hyperlink ref="C176" r:id="rId50" xr:uid="{EC257F28-9B9A-4848-ACE6-B5B0BF3BC60C}"/>
    <hyperlink ref="C3" r:id="rId51" xr:uid="{379C8E23-D051-4348-B153-9DC785B6C89C}"/>
    <hyperlink ref="C221" r:id="rId52" xr:uid="{C9E8F346-E3A8-472D-9F30-354BDB46BFEE}"/>
    <hyperlink ref="C4" r:id="rId53" xr:uid="{A7296397-6DBF-4C1C-A527-A92D1922249D}"/>
    <hyperlink ref="C177" r:id="rId54" xr:uid="{5404ED89-24CF-48EF-9F33-93EE6856FD38}"/>
    <hyperlink ref="C218" r:id="rId55" xr:uid="{9698AED7-2AAE-4CF4-837C-0117F1D54B38}"/>
    <hyperlink ref="C178" r:id="rId56" xr:uid="{2AD45A32-B94C-40BF-AE56-4777DAE018CF}"/>
    <hyperlink ref="C198" r:id="rId57" xr:uid="{81E9F435-BB23-47E0-9FDD-8AC939B6AFC3}"/>
    <hyperlink ref="C5" r:id="rId58" xr:uid="{53D2915C-217B-442D-A82D-210C6B6C859E}"/>
    <hyperlink ref="C8" r:id="rId59" xr:uid="{715A4A01-B028-4C23-9D79-FC6F9549D49F}"/>
    <hyperlink ref="C179" r:id="rId60" xr:uid="{E3D871D8-F79D-42F5-88C8-03882411F6BE}"/>
    <hyperlink ref="C6" r:id="rId61" xr:uid="{B8EA5F94-1F34-4982-8F33-3442F8E1F2E9}"/>
    <hyperlink ref="C64" r:id="rId62" xr:uid="{310C8FFE-73F6-4456-AFB4-B0C76538FAD6}"/>
    <hyperlink ref="C65" r:id="rId63" xr:uid="{4B1D6C34-72D9-4952-AFFA-282CEB198744}"/>
    <hyperlink ref="C224" r:id="rId64" xr:uid="{15D6C1CE-BBAB-48F8-8873-B50A8FE6400D}"/>
    <hyperlink ref="C196" r:id="rId65" xr:uid="{0C5ACD1A-0A30-4B9A-836D-B5407BF3F1DF}"/>
    <hyperlink ref="C181" r:id="rId66" xr:uid="{F7430421-6208-4AAE-AFB5-D5EEDF60AA64}"/>
    <hyperlink ref="C66" r:id="rId67" xr:uid="{BCB69F1F-4671-460F-8D51-862B7F7A2A47}"/>
    <hyperlink ref="C67" r:id="rId68" xr:uid="{D6FB035F-0D9B-49FA-BC46-5C557CEAD091}"/>
    <hyperlink ref="C201" r:id="rId69" xr:uid="{3EDC0FCA-DA25-4431-89BA-266CF44D5B11}"/>
    <hyperlink ref="C229" r:id="rId70" xr:uid="{CB1F3153-551E-406A-95AB-3C86B544544E}"/>
    <hyperlink ref="C150" r:id="rId71" xr:uid="{403B99EC-4507-4027-B777-5C45E8980E7D}"/>
    <hyperlink ref="C182" r:id="rId72" xr:uid="{3CD817D6-10B7-4992-BB82-D062B1EE3204}"/>
    <hyperlink ref="C183" r:id="rId73" xr:uid="{FF4BE920-D263-4F90-AFA2-7D6A7F8BC3B3}"/>
    <hyperlink ref="C193" r:id="rId74" xr:uid="{19CA1D4F-91F7-40D9-AD8F-AAA59CFC7B9A}"/>
    <hyperlink ref="C68" r:id="rId75" xr:uid="{F2ACC3BD-999F-42E1-A9AC-D95CE7F371BA}"/>
    <hyperlink ref="C69" r:id="rId76" xr:uid="{03111E3C-C91A-4DF6-8808-C3259CF2CC83}"/>
    <hyperlink ref="C151" r:id="rId77" xr:uid="{F63BE4BB-CB20-4F09-AA45-0CDC9A501040}"/>
    <hyperlink ref="C152" r:id="rId78" xr:uid="{2675324B-AD93-419B-B43D-CC5D0A1A7FAA}"/>
    <hyperlink ref="C119" r:id="rId79" xr:uid="{E2B61561-F722-4E9C-AC97-D0ED974835BA}"/>
    <hyperlink ref="C120" r:id="rId80" xr:uid="{8CC9893F-2FA5-4702-876F-E196975B786F}"/>
    <hyperlink ref="C194" r:id="rId81" xr:uid="{8B7F7B71-30CB-414E-82B2-D0E8DE1ED21A}"/>
    <hyperlink ref="C239" r:id="rId82" xr:uid="{E483483C-C8F0-4487-B15E-4AE550EC9939}"/>
    <hyperlink ref="C70" r:id="rId83" xr:uid="{AB2905AB-551C-4100-AA19-35DBAFF2DCC3}"/>
    <hyperlink ref="C199" r:id="rId84" xr:uid="{12269E2E-72DB-4935-B78E-13C9DF96F7DC}"/>
    <hyperlink ref="C111" r:id="rId85" xr:uid="{795DAE0B-7DAF-4A6B-A24E-A0A1BD7F8916}"/>
    <hyperlink ref="C121" r:id="rId86" xr:uid="{E317E616-7058-4F02-B790-3283D3C7D5B3}"/>
    <hyperlink ref="C153" r:id="rId87" xr:uid="{B332A02C-A546-48A7-8D35-430244FB9B76}"/>
    <hyperlink ref="C154" r:id="rId88" xr:uid="{2B9CB019-5DC9-47C9-BEE5-D7C7246BE9D3}"/>
    <hyperlink ref="C71" r:id="rId89" xr:uid="{65095004-370C-437C-B796-63DD4270F48E}"/>
    <hyperlink ref="C122" r:id="rId90" xr:uid="{8F93BE5E-62DE-4F3F-92E0-D95ABAD035AD}"/>
    <hyperlink ref="C123" r:id="rId91" xr:uid="{31ADBB26-DD15-4512-B7DF-8F4E0A8AF710}"/>
    <hyperlink ref="C209" r:id="rId92" xr:uid="{6EF3C529-D1E2-4EA5-92ED-37971A2E9F74}"/>
    <hyperlink ref="C124" r:id="rId93" xr:uid="{E79E0FDC-A046-428C-87E8-C50B279DC5CF}"/>
    <hyperlink ref="C125" r:id="rId94" xr:uid="{213F3489-033B-42CC-892D-C15BF468386B}"/>
    <hyperlink ref="C126" r:id="rId95" xr:uid="{662AA0F4-BDEF-44A7-8904-C3DFECA01803}"/>
    <hyperlink ref="C184" r:id="rId96" xr:uid="{5BFFC53E-3A5C-4E57-AA72-7946C88717C1}"/>
    <hyperlink ref="C72" r:id="rId97" xr:uid="{470F1877-C561-40FF-89E6-273C4C15F163}"/>
    <hyperlink ref="C127" r:id="rId98" xr:uid="{0AF18E1E-76FE-41A4-AAD5-8071359D0A84}"/>
    <hyperlink ref="C238" r:id="rId99" xr:uid="{C7136AAC-D6AB-4FFE-8A83-E6D9B1ABA2E8}"/>
    <hyperlink ref="C23" r:id="rId100" xr:uid="{D33834AA-09DE-4871-96FC-445B2C28199B}"/>
    <hyperlink ref="C24" r:id="rId101" xr:uid="{D780E30B-86BB-457B-9CBC-0E268499170F}"/>
    <hyperlink ref="C112" r:id="rId102" xr:uid="{7DCE21ED-AF48-4337-8317-02FF4845CDC7}"/>
    <hyperlink ref="C113" r:id="rId103" xr:uid="{F9B7C3E7-4239-4DB6-A55D-1371695214BE}"/>
    <hyperlink ref="C155" r:id="rId104" xr:uid="{9709C782-CDC9-4AE7-B3F2-01FCB4C750D8}"/>
    <hyperlink ref="C222" r:id="rId105" xr:uid="{F251C35C-8940-4468-90AA-5ABE50B5BD53}"/>
    <hyperlink ref="C29" r:id="rId106" xr:uid="{0C34B631-FEDD-4A69-B665-29249A75B16A}"/>
    <hyperlink ref="C129" r:id="rId107" xr:uid="{CB683CD3-F994-4759-8557-C44307288CED}"/>
    <hyperlink ref="C234" r:id="rId108" xr:uid="{22AA7E7B-7814-4DDD-BD3C-EFCCCB0EA613}"/>
    <hyperlink ref="C233" r:id="rId109" xr:uid="{FA8EBA00-8341-4B2D-BAFC-280C377C583E}"/>
    <hyperlink ref="C30" r:id="rId110" xr:uid="{33F458B3-B11F-4E70-B847-9BBBE765C5CF}"/>
    <hyperlink ref="C186" r:id="rId111" xr:uid="{AD5DE274-4E81-4600-B8A3-FC8FCFAF1C8D}"/>
    <hyperlink ref="C236" r:id="rId112" xr:uid="{94916454-03E3-441C-A039-31488420B638}"/>
    <hyperlink ref="C156" r:id="rId113" xr:uid="{2E0ACE58-1C5F-465D-BBDA-FDB843B2914F}"/>
    <hyperlink ref="C130" r:id="rId114" xr:uid="{0CF3136C-E664-41BB-B734-E18974EAE6C0}"/>
    <hyperlink ref="C131" r:id="rId115" xr:uid="{D02268DB-D1EC-43EE-A5AA-58518C3E379D}"/>
    <hyperlink ref="C132" r:id="rId116" xr:uid="{D1B1EFF1-4E2F-44D4-8731-466DB3E3AF40}"/>
    <hyperlink ref="C185" r:id="rId117" xr:uid="{617ABC3B-7E83-412E-83CC-105F686FD41F}"/>
    <hyperlink ref="C158" r:id="rId118" xr:uid="{467AA674-9A8A-41D8-ADB2-642E6C825D3B}"/>
    <hyperlink ref="C202" r:id="rId119" xr:uid="{B4FF3105-1FA1-4868-AAA7-8CFF92792977}"/>
    <hyperlink ref="C159" r:id="rId120" xr:uid="{9AECA026-BACD-469E-B8D5-C256A7FEDF17}"/>
    <hyperlink ref="C215" r:id="rId121" xr:uid="{2F26299E-F7A4-4BF2-B5EC-B899CA419A87}"/>
    <hyperlink ref="C160" r:id="rId122" xr:uid="{1A84A47C-F42A-49A8-ADB3-11D4CC06A08E}"/>
    <hyperlink ref="C187" r:id="rId123" xr:uid="{A44C1DF5-9634-48D2-BD61-C681B17641B2}"/>
    <hyperlink ref="C32" r:id="rId124" xr:uid="{DE1DAB63-D352-453D-B42F-4FCAC5825C82}"/>
    <hyperlink ref="C33" r:id="rId125" xr:uid="{D8E59FD4-0A7E-4D94-93B4-20357AA000D0}"/>
    <hyperlink ref="C34" r:id="rId126" xr:uid="{09F7CC08-B4E1-4310-918A-4D88C9AA03CA}"/>
    <hyperlink ref="C35" r:id="rId127" xr:uid="{84F8B55E-917B-4DF5-80AB-DC14E705286D}"/>
    <hyperlink ref="C226" r:id="rId128" xr:uid="{434291B1-7CCD-476C-AD3F-19EA06177A71}"/>
    <hyperlink ref="C188" r:id="rId129" xr:uid="{70901632-3CF9-4A16-91E4-3AF8AB30466C}"/>
    <hyperlink ref="C36" r:id="rId130" xr:uid="{CB85419E-9014-4275-9C2D-0480A7278346}"/>
    <hyperlink ref="C189" r:id="rId131" xr:uid="{FE735A60-0A9F-4A9B-974B-794A79ED355A}"/>
    <hyperlink ref="C200" r:id="rId132" xr:uid="{CA1F5C99-9923-4D37-A6B9-48BD7073F814}"/>
    <hyperlink ref="C190" r:id="rId133" xr:uid="{C9138221-74CC-4FEF-9473-B0FFF6CD48EC}"/>
    <hyperlink ref="C241" r:id="rId134" xr:uid="{98F53F29-2518-4B28-8FBE-BD0B28612725}"/>
    <hyperlink ref="C37" r:id="rId135" xr:uid="{427C1EBA-73C6-4285-9737-DE9D6F243A36}"/>
    <hyperlink ref="C21" r:id="rId136" xr:uid="{177BF2DE-0F93-4B82-8250-3C653530DA96}"/>
    <hyperlink ref="C9" r:id="rId137" xr:uid="{C013AE19-06D0-4890-95BA-233C3A7A5290}"/>
    <hyperlink ref="C10" r:id="rId138" xr:uid="{CF48F2E1-E35E-4B35-8E7D-DB6B7D1BFC77}"/>
    <hyperlink ref="C39" r:id="rId139" xr:uid="{FC66B015-395E-4D81-B18E-58C7889A9F63}"/>
    <hyperlink ref="C11" r:id="rId140" xr:uid="{F192B44F-5046-4C71-B1A8-C4F31B6E357B}"/>
    <hyperlink ref="C230" r:id="rId141" xr:uid="{B7C541FA-44A0-438A-9EAE-AE6D28A9D9CA}"/>
    <hyperlink ref="C220" r:id="rId142" xr:uid="{16C88BE9-EB63-445B-9263-376B3456AA0B}"/>
    <hyperlink ref="C12" r:id="rId143" xr:uid="{2ED9DE61-834B-40D7-BE48-A61DEEA05C43}"/>
    <hyperlink ref="C40" r:id="rId144" xr:uid="{1F5291BB-EFA3-4566-A87C-EBEDD2423F0C}"/>
    <hyperlink ref="C243" r:id="rId145" xr:uid="{EF60A5F3-7C5F-4A2E-9790-8F873A958CFA}"/>
    <hyperlink ref="C41" r:id="rId146" xr:uid="{565BE806-AC6B-41F2-A7F5-AF382619EB39}"/>
    <hyperlink ref="C42" r:id="rId147" xr:uid="{C6296AE6-5482-4288-8A1C-D7105DB57784}"/>
    <hyperlink ref="C25" r:id="rId148" xr:uid="{60ACE13D-7509-4C49-BE93-024394E3EBC4}"/>
    <hyperlink ref="C15" r:id="rId149" xr:uid="{026A62AD-007C-4088-84A7-196CD1E677D4}"/>
    <hyperlink ref="C44" r:id="rId150" xr:uid="{12991DAA-C992-48BB-9A63-CF92C5B79765}"/>
    <hyperlink ref="C212" r:id="rId151" xr:uid="{3B3B25F9-A67A-4B4D-ABF6-7CE56C1D5B49}"/>
    <hyperlink ref="C46" r:id="rId152" xr:uid="{00CDE402-5217-4A14-9DDB-9857F678B101}"/>
    <hyperlink ref="C14" r:id="rId153" xr:uid="{64F95828-6254-49A3-BE17-A8D0CDD2B99B}"/>
    <hyperlink ref="C56" r:id="rId154" xr:uid="{7FDB0382-E661-4F80-B95B-485D3FBFF036}"/>
    <hyperlink ref="C216" r:id="rId155" xr:uid="{C74A33C8-2737-4FD1-BF5B-5A24FB6B4EA2}"/>
    <hyperlink ref="C51" r:id="rId156" xr:uid="{DB6D2DCB-7DC5-4034-841C-57ED11CB8E22}"/>
    <hyperlink ref="C47" r:id="rId157" xr:uid="{57D6ED59-7A77-4BA2-A976-82A90FDC3175}"/>
    <hyperlink ref="C13" r:id="rId158" xr:uid="{1FC40EB0-C199-4BDF-9EE1-753A59465F64}"/>
    <hyperlink ref="C52" r:id="rId159" xr:uid="{B21ACDF9-FD24-4ED8-AA50-F7E3A0B90F94}"/>
    <hyperlink ref="C38" r:id="rId160" xr:uid="{A6F12398-D46B-444B-98E6-420562B98029}"/>
    <hyperlink ref="C235" r:id="rId161" xr:uid="{388DF23B-A0A6-4CCD-A189-43DB39C916F0}"/>
    <hyperlink ref="C43" r:id="rId162" xr:uid="{3FE8567D-CA44-4E85-B25B-466C5668B041}"/>
    <hyperlink ref="C45" r:id="rId163" xr:uid="{DA701680-1590-4E83-AF8B-7E14C4FA9360}"/>
    <hyperlink ref="C20" r:id="rId164" xr:uid="{4A56BE81-B487-4E88-B00A-8F29ED5DF0B0}"/>
    <hyperlink ref="C16" r:id="rId165" xr:uid="{0F0BF786-532B-48A9-A920-D8F0DD7DA46D}"/>
    <hyperlink ref="C17" r:id="rId166" xr:uid="{33AC367F-FA8B-4CA8-82A6-4F5BD063193C}"/>
    <hyperlink ref="C49" r:id="rId167" xr:uid="{9C2828DD-6047-4DF6-A425-633D82E47821}"/>
    <hyperlink ref="C180" r:id="rId168" xr:uid="{F5C8F2A3-7E4C-49AA-BA1B-BFB91CB84FF6}"/>
    <hyperlink ref="C157" r:id="rId169" xr:uid="{F50E882B-D93F-4926-90DF-395AE49B4FED}"/>
    <hyperlink ref="C214" r:id="rId170" xr:uid="{4AAD4AD2-92E4-49B6-9DCA-C681AA3E5F61}"/>
    <hyperlink ref="C31" r:id="rId171" xr:uid="{053D6C7F-206B-454C-91D5-34081FAABA7A}"/>
    <hyperlink ref="C191:F191" r:id="rId172" display="AZE156-1008234" xr:uid="{2B50BB28-060F-465C-AC2C-C624F0AB3CA9}"/>
    <hyperlink ref="C192" r:id="rId173" xr:uid="{0C5D99B3-E532-41ED-B6CF-ADB84FB317B3}"/>
    <hyperlink ref="C18" r:id="rId174" xr:uid="{C0C6EAAC-4A9D-4307-8CF7-AAA873EE8328}"/>
    <hyperlink ref="C50" r:id="rId175" xr:uid="{447CAED9-47E3-4096-A6CB-244299181FBD}"/>
    <hyperlink ref="C19" r:id="rId176" xr:uid="{4D4D54A3-8839-481D-A07E-6BD96CAC140F}"/>
    <hyperlink ref="C197" r:id="rId177" xr:uid="{83ABED5D-FE3F-4F0E-8258-3D775CE070DA}"/>
    <hyperlink ref="C206" r:id="rId178" xr:uid="{C648C362-F59E-4924-A5F6-6F5053C5B5FC}"/>
    <hyperlink ref="C207" r:id="rId179" xr:uid="{F5EF838C-F99A-4405-B57D-EB441E9A43BF}"/>
    <hyperlink ref="C208" r:id="rId180" xr:uid="{E1306444-F3BE-4D7E-8773-5DC5C9F8613E}"/>
    <hyperlink ref="Q16" r:id="rId181" xr:uid="{474BE1E5-64FA-4B9A-AD4F-2D93066D1B07}"/>
    <hyperlink ref="Q134" r:id="rId182" display="FPH Trade" xr:uid="{8214F036-C76A-4119-BF2C-2BCD5C7C6C1D}"/>
    <hyperlink ref="C223" r:id="rId183" xr:uid="{1992BDEA-66FC-4AE3-9F67-1D7918C94138}"/>
    <hyperlink ref="C107" r:id="rId184" xr:uid="{EEDE6B0D-3882-47E7-9433-DAF18A8BF6E7}"/>
    <hyperlink ref="C53" r:id="rId185" xr:uid="{6A619986-321D-422C-AB3C-A9032BC925ED}"/>
    <hyperlink ref="C54" r:id="rId186" xr:uid="{DD84D032-987E-4605-9686-41E366F941BC}"/>
    <hyperlink ref="C55" r:id="rId187" xr:uid="{8F179661-C144-49FE-AB55-23FDEEBF848A}"/>
    <hyperlink ref="C237" r:id="rId188" xr:uid="{ED89F7CF-04D4-4D08-B557-4B31955253BC}"/>
    <hyperlink ref="C245" r:id="rId189" xr:uid="{9F33B983-7C80-4D8A-8CE0-B4A4BCF1273C}"/>
    <hyperlink ref="C164" r:id="rId190" xr:uid="{4C6C8FD6-FC7B-4D24-B028-211348C1C06B}"/>
    <hyperlink ref="C165" r:id="rId191" xr:uid="{2EE2534F-6436-4E38-80D6-9E6F35B1D79B}"/>
    <hyperlink ref="C161" r:id="rId192" xr:uid="{ED98A5DF-5378-4A60-8FC5-2F50690AC6DC}"/>
    <hyperlink ref="C163" r:id="rId193" xr:uid="{8D8E5CA7-7B82-4DA6-BB74-CF0BFB499350}"/>
  </hyperlinks>
  <pageMargins left="0.7" right="0.7" top="0.75" bottom="0.75" header="0.3" footer="0.3"/>
  <pageSetup paperSize="9" orientation="portrait" horizontalDpi="4294967293" verticalDpi="0" r:id="rId19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432D-EA66-40BC-82EB-577D48F0D29E}">
  <dimension ref="A1:R966"/>
  <sheetViews>
    <sheetView workbookViewId="0">
      <pane ySplit="1" topLeftCell="A129" activePane="bottomLeft" state="frozen"/>
      <selection activeCell="B1" sqref="B1"/>
      <selection pane="bottomLeft" activeCell="C138" sqref="C138"/>
    </sheetView>
  </sheetViews>
  <sheetFormatPr defaultColWidth="14.44140625" defaultRowHeight="14.4" x14ac:dyDescent="0.3"/>
  <cols>
    <col min="1" max="1" width="29.88671875" bestFit="1" customWidth="1"/>
    <col min="2" max="2" width="10.5546875" bestFit="1" customWidth="1"/>
    <col min="3" max="3" width="21.77734375" bestFit="1" customWidth="1"/>
    <col min="4" max="4" width="10.109375" hidden="1" customWidth="1"/>
    <col min="5" max="5" width="11.88671875" hidden="1" customWidth="1"/>
    <col min="6" max="6" width="21.109375" hidden="1" customWidth="1"/>
    <col min="7" max="7" width="9.109375" customWidth="1"/>
    <col min="8" max="8" width="17.44140625" customWidth="1"/>
    <col min="9" max="9" width="23.77734375" bestFit="1" customWidth="1"/>
    <col min="10" max="10" width="15.77734375" bestFit="1" customWidth="1"/>
    <col min="11" max="11" width="16.44140625" bestFit="1" customWidth="1"/>
    <col min="12" max="12" width="15.6640625" bestFit="1" customWidth="1"/>
    <col min="13" max="14" width="11.6640625" customWidth="1"/>
    <col min="15" max="15" width="11.44140625" bestFit="1" customWidth="1"/>
    <col min="16" max="16" width="18.5546875" customWidth="1"/>
    <col min="17" max="17" width="32.44140625" customWidth="1"/>
    <col min="18" max="28" width="8.6640625" customWidth="1"/>
  </cols>
  <sheetData>
    <row r="1" spans="1:17" x14ac:dyDescent="0.3">
      <c r="A1" s="1" t="s">
        <v>0</v>
      </c>
      <c r="B1" s="1" t="s">
        <v>1461</v>
      </c>
      <c r="C1" s="1" t="s">
        <v>1</v>
      </c>
      <c r="D1" s="12" t="s">
        <v>291</v>
      </c>
      <c r="E1" s="3" t="s">
        <v>292</v>
      </c>
      <c r="F1" s="1" t="s">
        <v>3</v>
      </c>
      <c r="G1" s="3" t="s">
        <v>5</v>
      </c>
      <c r="H1" s="3" t="s">
        <v>6</v>
      </c>
      <c r="I1" s="3" t="s">
        <v>7</v>
      </c>
      <c r="J1" s="12" t="s">
        <v>8</v>
      </c>
      <c r="K1" s="192" t="s">
        <v>1172</v>
      </c>
      <c r="L1" s="12" t="s">
        <v>293</v>
      </c>
      <c r="M1" s="12" t="s">
        <v>11</v>
      </c>
      <c r="N1" s="112" t="s">
        <v>1262</v>
      </c>
      <c r="O1" s="32" t="s">
        <v>294</v>
      </c>
      <c r="P1" s="12" t="s">
        <v>295</v>
      </c>
      <c r="Q1" s="12" t="s">
        <v>1234</v>
      </c>
    </row>
    <row r="2" spans="1:17" x14ac:dyDescent="0.3">
      <c r="A2" s="249" t="s">
        <v>1432</v>
      </c>
      <c r="B2" s="249" t="s">
        <v>1523</v>
      </c>
      <c r="C2" s="174" t="s">
        <v>533</v>
      </c>
      <c r="D2" s="136">
        <v>34935</v>
      </c>
      <c r="E2" s="41">
        <v>44718</v>
      </c>
      <c r="F2" s="265" t="s">
        <v>277</v>
      </c>
      <c r="G2" s="260">
        <v>2012</v>
      </c>
      <c r="H2" s="305" t="s">
        <v>534</v>
      </c>
      <c r="I2" s="305" t="s">
        <v>535</v>
      </c>
      <c r="J2" s="11">
        <v>8388</v>
      </c>
      <c r="K2" s="11"/>
      <c r="L2" s="49">
        <f>1086</f>
        <v>1086</v>
      </c>
      <c r="M2" s="11">
        <f t="shared" ref="M2:M15" si="0">SUM(J2+L2)</f>
        <v>9474</v>
      </c>
      <c r="N2" s="104">
        <f>+M2+500</f>
        <v>9974</v>
      </c>
      <c r="P2" t="s">
        <v>536</v>
      </c>
    </row>
    <row r="3" spans="1:17" x14ac:dyDescent="0.3">
      <c r="A3" s="248" t="s">
        <v>297</v>
      </c>
      <c r="B3" s="248" t="s">
        <v>1471</v>
      </c>
      <c r="C3" s="250" t="s">
        <v>371</v>
      </c>
      <c r="D3" s="166">
        <v>59482</v>
      </c>
      <c r="E3" s="259">
        <v>43836</v>
      </c>
      <c r="F3" s="264" t="s">
        <v>372</v>
      </c>
      <c r="G3" s="306">
        <v>2007</v>
      </c>
      <c r="H3" s="307" t="s">
        <v>37</v>
      </c>
      <c r="I3" s="307" t="s">
        <v>335</v>
      </c>
      <c r="J3" s="168">
        <v>12488.1</v>
      </c>
      <c r="K3" s="168"/>
      <c r="L3" s="168">
        <v>731.4</v>
      </c>
      <c r="M3" s="168">
        <f t="shared" si="0"/>
        <v>13219.5</v>
      </c>
      <c r="N3" s="104">
        <f>+M3+500</f>
        <v>13719.5</v>
      </c>
      <c r="O3" s="170">
        <v>8000</v>
      </c>
      <c r="P3" s="169" t="s">
        <v>1592</v>
      </c>
      <c r="Q3" t="s">
        <v>1570</v>
      </c>
    </row>
    <row r="4" spans="1:17" x14ac:dyDescent="0.3">
      <c r="A4" s="121" t="s">
        <v>297</v>
      </c>
      <c r="B4" s="121" t="s">
        <v>1471</v>
      </c>
      <c r="C4" s="270" t="s">
        <v>515</v>
      </c>
      <c r="D4" s="27">
        <v>118927</v>
      </c>
      <c r="E4" s="404">
        <v>44638</v>
      </c>
      <c r="F4" s="121" t="s">
        <v>514</v>
      </c>
      <c r="G4" s="123">
        <v>2006</v>
      </c>
      <c r="H4" s="123" t="s">
        <v>96</v>
      </c>
      <c r="I4" s="123" t="s">
        <v>422</v>
      </c>
      <c r="J4" s="11">
        <v>4813</v>
      </c>
      <c r="K4" s="11"/>
      <c r="L4" s="12">
        <v>999.56</v>
      </c>
      <c r="M4" s="11">
        <f t="shared" si="0"/>
        <v>5812.5599999999995</v>
      </c>
      <c r="N4" s="104">
        <f>+M4+500</f>
        <v>6312.5599999999995</v>
      </c>
      <c r="P4" s="12" t="s">
        <v>1592</v>
      </c>
      <c r="Q4" t="s">
        <v>1570</v>
      </c>
    </row>
    <row r="5" spans="1:17" x14ac:dyDescent="0.3">
      <c r="A5" s="33" t="s">
        <v>297</v>
      </c>
      <c r="B5" s="33" t="s">
        <v>1505</v>
      </c>
      <c r="C5" s="165" t="s">
        <v>337</v>
      </c>
      <c r="D5" s="166">
        <v>179179</v>
      </c>
      <c r="E5" s="167">
        <v>43803</v>
      </c>
      <c r="F5" s="142" t="s">
        <v>338</v>
      </c>
      <c r="G5" s="195">
        <v>2010</v>
      </c>
      <c r="H5" s="196" t="s">
        <v>16</v>
      </c>
      <c r="I5" s="196" t="s">
        <v>17</v>
      </c>
      <c r="J5" s="168">
        <v>6753.05</v>
      </c>
      <c r="K5" s="168"/>
      <c r="L5" s="168">
        <v>202</v>
      </c>
      <c r="M5" s="168">
        <f t="shared" si="0"/>
        <v>6955.05</v>
      </c>
      <c r="N5" s="168"/>
      <c r="O5" s="170">
        <v>7000</v>
      </c>
      <c r="P5" s="169" t="s">
        <v>339</v>
      </c>
    </row>
    <row r="6" spans="1:17" x14ac:dyDescent="0.3">
      <c r="A6" s="33" t="s">
        <v>297</v>
      </c>
      <c r="B6" s="248" t="s">
        <v>1506</v>
      </c>
      <c r="C6" s="401" t="s">
        <v>426</v>
      </c>
      <c r="D6" s="166">
        <v>136257</v>
      </c>
      <c r="E6" s="167">
        <v>44303</v>
      </c>
      <c r="F6" s="142" t="s">
        <v>211</v>
      </c>
      <c r="G6" s="195">
        <v>2006</v>
      </c>
      <c r="H6" s="196" t="s">
        <v>96</v>
      </c>
      <c r="I6" s="196" t="s">
        <v>224</v>
      </c>
      <c r="J6" s="168">
        <v>4639.55</v>
      </c>
      <c r="K6" s="168"/>
      <c r="L6" s="168">
        <v>2999.92</v>
      </c>
      <c r="M6" s="168">
        <f t="shared" si="0"/>
        <v>7639.47</v>
      </c>
      <c r="N6" s="168"/>
      <c r="O6" s="170">
        <v>5000</v>
      </c>
      <c r="P6" s="169" t="s">
        <v>339</v>
      </c>
    </row>
    <row r="7" spans="1:17" x14ac:dyDescent="0.3">
      <c r="A7" s="33" t="s">
        <v>297</v>
      </c>
      <c r="B7" s="33" t="s">
        <v>1507</v>
      </c>
      <c r="C7" s="37" t="s">
        <v>486</v>
      </c>
      <c r="D7" s="27">
        <v>94481</v>
      </c>
      <c r="E7" s="38">
        <v>44574</v>
      </c>
      <c r="F7" s="22" t="s">
        <v>170</v>
      </c>
      <c r="G7" s="266">
        <v>2007</v>
      </c>
      <c r="H7" s="266" t="s">
        <v>21</v>
      </c>
      <c r="I7" s="266" t="s">
        <v>487</v>
      </c>
      <c r="J7" s="124">
        <v>10182</v>
      </c>
      <c r="K7" s="124"/>
      <c r="L7" s="11">
        <v>1176.8699999999999</v>
      </c>
      <c r="M7" s="11">
        <f t="shared" si="0"/>
        <v>11358.869999999999</v>
      </c>
      <c r="N7" s="11"/>
      <c r="P7" s="12" t="s">
        <v>1405</v>
      </c>
      <c r="Q7" t="s">
        <v>1643</v>
      </c>
    </row>
    <row r="8" spans="1:17" x14ac:dyDescent="0.3">
      <c r="A8" s="33" t="s">
        <v>297</v>
      </c>
      <c r="B8" s="33" t="s">
        <v>1508</v>
      </c>
      <c r="C8" s="147" t="s">
        <v>340</v>
      </c>
      <c r="D8" s="171">
        <v>117402</v>
      </c>
      <c r="E8" s="158">
        <v>43803</v>
      </c>
      <c r="F8" s="143" t="s">
        <v>338</v>
      </c>
      <c r="G8" s="308">
        <v>2006</v>
      </c>
      <c r="H8" s="139" t="s">
        <v>29</v>
      </c>
      <c r="I8" s="139" t="s">
        <v>341</v>
      </c>
      <c r="J8" s="141">
        <v>5178.25</v>
      </c>
      <c r="K8" s="141"/>
      <c r="L8" s="141">
        <v>1364.11</v>
      </c>
      <c r="M8" s="141">
        <f t="shared" si="0"/>
        <v>6542.36</v>
      </c>
      <c r="N8" s="141"/>
      <c r="O8" s="175">
        <v>4000</v>
      </c>
      <c r="P8" s="152" t="s">
        <v>342</v>
      </c>
    </row>
    <row r="9" spans="1:17" x14ac:dyDescent="0.3">
      <c r="A9" s="33" t="s">
        <v>297</v>
      </c>
      <c r="B9" s="33" t="s">
        <v>1509</v>
      </c>
      <c r="C9" s="147" t="s">
        <v>347</v>
      </c>
      <c r="D9" s="171">
        <v>114951</v>
      </c>
      <c r="E9" s="158">
        <v>43803</v>
      </c>
      <c r="F9" s="143" t="s">
        <v>344</v>
      </c>
      <c r="G9" s="308">
        <v>2007</v>
      </c>
      <c r="H9" s="139" t="s">
        <v>96</v>
      </c>
      <c r="I9" s="139" t="s">
        <v>346</v>
      </c>
      <c r="J9" s="141">
        <v>10207.65</v>
      </c>
      <c r="K9" s="141"/>
      <c r="L9" s="141">
        <v>3887.89</v>
      </c>
      <c r="M9" s="141">
        <f t="shared" si="0"/>
        <v>14095.539999999999</v>
      </c>
      <c r="N9" s="141"/>
      <c r="O9" s="170">
        <v>8000</v>
      </c>
      <c r="P9" s="154" t="s">
        <v>1179</v>
      </c>
    </row>
    <row r="10" spans="1:17" x14ac:dyDescent="0.3">
      <c r="A10" s="33" t="s">
        <v>297</v>
      </c>
      <c r="B10" s="33" t="s">
        <v>1510</v>
      </c>
      <c r="C10" s="147" t="s">
        <v>378</v>
      </c>
      <c r="D10" s="171">
        <v>100856</v>
      </c>
      <c r="E10" s="158">
        <v>43900</v>
      </c>
      <c r="F10" s="143" t="s">
        <v>379</v>
      </c>
      <c r="G10" s="308">
        <v>2011</v>
      </c>
      <c r="H10" s="139" t="s">
        <v>21</v>
      </c>
      <c r="I10" s="139" t="s">
        <v>380</v>
      </c>
      <c r="J10" s="141">
        <v>15065</v>
      </c>
      <c r="K10" s="141"/>
      <c r="L10" s="141">
        <v>4464.82</v>
      </c>
      <c r="M10" s="141">
        <f t="shared" si="0"/>
        <v>19529.82</v>
      </c>
      <c r="N10" s="141"/>
      <c r="O10" s="170">
        <v>19529.82</v>
      </c>
      <c r="P10" s="152" t="s">
        <v>342</v>
      </c>
    </row>
    <row r="11" spans="1:17" x14ac:dyDescent="0.3">
      <c r="A11" s="248" t="s">
        <v>297</v>
      </c>
      <c r="B11" s="318" t="s">
        <v>1523</v>
      </c>
      <c r="C11" s="147" t="s">
        <v>381</v>
      </c>
      <c r="D11" s="171">
        <v>55493</v>
      </c>
      <c r="E11" s="158">
        <v>43900</v>
      </c>
      <c r="F11" s="143" t="s">
        <v>382</v>
      </c>
      <c r="G11" s="308">
        <v>2010</v>
      </c>
      <c r="H11" s="139" t="s">
        <v>96</v>
      </c>
      <c r="I11" s="139" t="s">
        <v>383</v>
      </c>
      <c r="J11" s="141">
        <v>13598.75</v>
      </c>
      <c r="K11" s="141"/>
      <c r="L11" s="141"/>
      <c r="M11" s="141">
        <f t="shared" si="0"/>
        <v>13598.75</v>
      </c>
      <c r="N11" s="141"/>
      <c r="O11" s="170">
        <v>13598.75</v>
      </c>
      <c r="P11" s="152" t="s">
        <v>342</v>
      </c>
    </row>
    <row r="12" spans="1:17" x14ac:dyDescent="0.3">
      <c r="A12" s="248" t="s">
        <v>297</v>
      </c>
      <c r="B12" s="318" t="s">
        <v>1511</v>
      </c>
      <c r="C12" s="147" t="s">
        <v>389</v>
      </c>
      <c r="D12" s="171">
        <v>80169</v>
      </c>
      <c r="E12" s="158">
        <v>44129</v>
      </c>
      <c r="F12" s="143" t="s">
        <v>388</v>
      </c>
      <c r="G12" s="308">
        <v>2014</v>
      </c>
      <c r="H12" s="139" t="s">
        <v>96</v>
      </c>
      <c r="I12" s="139" t="s">
        <v>390</v>
      </c>
      <c r="J12" s="141">
        <v>7782</v>
      </c>
      <c r="K12" s="141"/>
      <c r="L12" s="141">
        <v>816.54</v>
      </c>
      <c r="M12" s="141">
        <f t="shared" si="0"/>
        <v>8598.5400000000009</v>
      </c>
      <c r="N12" s="141"/>
      <c r="O12" s="154"/>
      <c r="P12" s="152" t="s">
        <v>342</v>
      </c>
    </row>
    <row r="13" spans="1:17" x14ac:dyDescent="0.3">
      <c r="A13" s="22" t="s">
        <v>1446</v>
      </c>
      <c r="B13" s="33" t="s">
        <v>1523</v>
      </c>
      <c r="C13" s="249" t="s">
        <v>488</v>
      </c>
      <c r="D13" s="27">
        <v>32158</v>
      </c>
      <c r="E13" s="16">
        <v>44587</v>
      </c>
      <c r="F13" s="22" t="s">
        <v>178</v>
      </c>
      <c r="G13" s="268">
        <v>2013</v>
      </c>
      <c r="H13" s="25" t="s">
        <v>489</v>
      </c>
      <c r="I13" s="25" t="s">
        <v>490</v>
      </c>
      <c r="J13" s="124">
        <v>12972.7</v>
      </c>
      <c r="K13" s="124"/>
      <c r="L13" s="11"/>
      <c r="M13" s="11">
        <f t="shared" si="0"/>
        <v>12972.7</v>
      </c>
      <c r="N13" s="11"/>
      <c r="O13" s="53">
        <v>12972.7</v>
      </c>
      <c r="P13" s="12" t="s">
        <v>342</v>
      </c>
    </row>
    <row r="14" spans="1:17" x14ac:dyDescent="0.3">
      <c r="A14" s="22" t="s">
        <v>1446</v>
      </c>
      <c r="B14" s="33" t="s">
        <v>1523</v>
      </c>
      <c r="C14" s="40" t="s">
        <v>494</v>
      </c>
      <c r="D14" s="27">
        <v>39372</v>
      </c>
      <c r="E14" s="41">
        <v>44604</v>
      </c>
      <c r="F14" s="22" t="s">
        <v>495</v>
      </c>
      <c r="G14" s="266" t="s">
        <v>280</v>
      </c>
      <c r="H14" s="266" t="s">
        <v>489</v>
      </c>
      <c r="I14" s="266" t="s">
        <v>496</v>
      </c>
      <c r="J14" s="11">
        <v>21494.2</v>
      </c>
      <c r="K14" s="11"/>
      <c r="M14" s="11">
        <f t="shared" si="0"/>
        <v>21494.2</v>
      </c>
      <c r="N14" s="11"/>
      <c r="O14" s="53">
        <v>21494.2</v>
      </c>
      <c r="P14" s="12" t="s">
        <v>342</v>
      </c>
    </row>
    <row r="15" spans="1:17" x14ac:dyDescent="0.3">
      <c r="A15" s="33" t="s">
        <v>297</v>
      </c>
      <c r="B15" s="33" t="s">
        <v>1512</v>
      </c>
      <c r="C15" s="44" t="s">
        <v>499</v>
      </c>
      <c r="D15" s="27">
        <v>87000</v>
      </c>
      <c r="E15" s="38">
        <v>44609</v>
      </c>
      <c r="F15" s="22" t="s">
        <v>40</v>
      </c>
      <c r="G15" s="266">
        <v>2013</v>
      </c>
      <c r="H15" s="266" t="s">
        <v>143</v>
      </c>
      <c r="I15" s="266" t="s">
        <v>500</v>
      </c>
      <c r="J15" s="11">
        <v>14053.4</v>
      </c>
      <c r="K15" s="11"/>
      <c r="L15" s="11">
        <v>0</v>
      </c>
      <c r="M15" s="11">
        <f t="shared" si="0"/>
        <v>14053.4</v>
      </c>
      <c r="N15" s="11"/>
      <c r="O15" s="53">
        <v>14053.4</v>
      </c>
      <c r="P15" s="12" t="s">
        <v>342</v>
      </c>
    </row>
    <row r="16" spans="1:17" x14ac:dyDescent="0.3">
      <c r="A16" s="249" t="s">
        <v>1427</v>
      </c>
      <c r="B16" s="33" t="s">
        <v>1523</v>
      </c>
      <c r="C16" s="37" t="s">
        <v>1433</v>
      </c>
      <c r="D16" s="108"/>
      <c r="E16" s="260"/>
      <c r="F16" s="260"/>
      <c r="G16" s="114" t="s">
        <v>287</v>
      </c>
      <c r="H16" s="114" t="s">
        <v>29</v>
      </c>
      <c r="I16" s="114" t="s">
        <v>189</v>
      </c>
      <c r="J16" s="220">
        <v>10027.200000000001</v>
      </c>
      <c r="K16" s="53">
        <f>330*1.15</f>
        <v>379.49999999999994</v>
      </c>
      <c r="L16" s="53">
        <f>1387.94-K16+1608.85</f>
        <v>2617.29</v>
      </c>
      <c r="M16" s="11">
        <f>SUM(J16+K16+L16)</f>
        <v>13023.990000000002</v>
      </c>
      <c r="N16" s="104">
        <f>+M16+500</f>
        <v>13523.990000000002</v>
      </c>
      <c r="O16" s="53">
        <v>11500</v>
      </c>
      <c r="P16" s="227" t="s">
        <v>1179</v>
      </c>
      <c r="Q16" s="364" t="s">
        <v>1570</v>
      </c>
    </row>
    <row r="17" spans="1:16" x14ac:dyDescent="0.3">
      <c r="A17" s="33" t="s">
        <v>297</v>
      </c>
      <c r="B17" s="33" t="s">
        <v>1523</v>
      </c>
      <c r="C17" s="147" t="s">
        <v>333</v>
      </c>
      <c r="D17" s="171">
        <v>57345</v>
      </c>
      <c r="E17" s="158">
        <v>43789</v>
      </c>
      <c r="F17" s="143" t="s">
        <v>334</v>
      </c>
      <c r="G17" s="308">
        <v>2009</v>
      </c>
      <c r="H17" s="139" t="s">
        <v>37</v>
      </c>
      <c r="I17" s="139" t="s">
        <v>335</v>
      </c>
      <c r="J17" s="141">
        <v>8518.2999999999993</v>
      </c>
      <c r="K17" s="141"/>
      <c r="L17" s="141">
        <v>2191.06</v>
      </c>
      <c r="M17" s="141">
        <f t="shared" ref="M17:M61" si="1">SUM(J17+L17)</f>
        <v>10709.359999999999</v>
      </c>
      <c r="N17" s="141"/>
      <c r="O17" s="175">
        <v>8000</v>
      </c>
      <c r="P17" s="152" t="s">
        <v>336</v>
      </c>
    </row>
    <row r="18" spans="1:16" x14ac:dyDescent="0.3">
      <c r="A18" s="33" t="s">
        <v>297</v>
      </c>
      <c r="B18" s="33" t="s">
        <v>1523</v>
      </c>
      <c r="C18" s="147" t="s">
        <v>343</v>
      </c>
      <c r="D18" s="171">
        <v>120309</v>
      </c>
      <c r="E18" s="158">
        <v>43803</v>
      </c>
      <c r="F18" s="143" t="s">
        <v>344</v>
      </c>
      <c r="G18" s="308">
        <v>2006</v>
      </c>
      <c r="H18" s="139" t="s">
        <v>29</v>
      </c>
      <c r="I18" s="139" t="s">
        <v>341</v>
      </c>
      <c r="J18" s="141">
        <v>10297.549999999999</v>
      </c>
      <c r="K18" s="141"/>
      <c r="L18" s="141">
        <v>1345.96</v>
      </c>
      <c r="M18" s="141">
        <f t="shared" si="1"/>
        <v>11643.509999999998</v>
      </c>
      <c r="N18" s="141"/>
      <c r="O18" s="170">
        <v>5000</v>
      </c>
      <c r="P18" s="152" t="s">
        <v>336</v>
      </c>
    </row>
    <row r="19" spans="1:16" ht="15.75" customHeight="1" x14ac:dyDescent="0.3">
      <c r="A19" s="33" t="s">
        <v>297</v>
      </c>
      <c r="B19" s="33" t="s">
        <v>1513</v>
      </c>
      <c r="C19" s="147" t="s">
        <v>345</v>
      </c>
      <c r="D19" s="171">
        <v>118039</v>
      </c>
      <c r="E19" s="158">
        <v>43803</v>
      </c>
      <c r="F19" s="143" t="s">
        <v>344</v>
      </c>
      <c r="G19" s="308">
        <v>2007</v>
      </c>
      <c r="H19" s="139" t="s">
        <v>96</v>
      </c>
      <c r="I19" s="139" t="s">
        <v>346</v>
      </c>
      <c r="J19" s="141">
        <v>9972</v>
      </c>
      <c r="K19" s="141"/>
      <c r="L19" s="141"/>
      <c r="M19" s="141">
        <f t="shared" si="1"/>
        <v>9972</v>
      </c>
      <c r="N19" s="141"/>
      <c r="O19" s="154"/>
      <c r="P19" s="152" t="s">
        <v>336</v>
      </c>
    </row>
    <row r="20" spans="1:16" ht="15.75" customHeight="1" x14ac:dyDescent="0.3">
      <c r="A20" s="33" t="s">
        <v>297</v>
      </c>
      <c r="B20" s="33" t="s">
        <v>1514</v>
      </c>
      <c r="C20" s="147" t="s">
        <v>365</v>
      </c>
      <c r="D20" s="171">
        <v>39946</v>
      </c>
      <c r="E20" s="158">
        <v>43803</v>
      </c>
      <c r="F20" s="143" t="s">
        <v>344</v>
      </c>
      <c r="G20" s="308">
        <v>2007</v>
      </c>
      <c r="H20" s="139" t="s">
        <v>49</v>
      </c>
      <c r="I20" s="139" t="s">
        <v>366</v>
      </c>
      <c r="J20" s="141">
        <v>7102.65</v>
      </c>
      <c r="K20" s="141"/>
      <c r="L20" s="141">
        <v>1013.95</v>
      </c>
      <c r="M20" s="141">
        <f t="shared" si="1"/>
        <v>8116.5999999999995</v>
      </c>
      <c r="N20" s="141"/>
      <c r="O20" s="154"/>
      <c r="P20" s="152" t="s">
        <v>336</v>
      </c>
    </row>
    <row r="21" spans="1:16" ht="15.75" customHeight="1" x14ac:dyDescent="0.3">
      <c r="A21" s="33" t="s">
        <v>297</v>
      </c>
      <c r="B21" s="33" t="s">
        <v>1515</v>
      </c>
      <c r="C21" s="147" t="s">
        <v>406</v>
      </c>
      <c r="D21" s="171">
        <v>54105</v>
      </c>
      <c r="E21" s="158">
        <v>44218</v>
      </c>
      <c r="F21" s="143" t="s">
        <v>48</v>
      </c>
      <c r="G21" s="308">
        <v>2012</v>
      </c>
      <c r="H21" s="139" t="s">
        <v>162</v>
      </c>
      <c r="I21" s="139" t="s">
        <v>276</v>
      </c>
      <c r="J21" s="141">
        <v>15509.35</v>
      </c>
      <c r="K21" s="141"/>
      <c r="L21" s="141">
        <v>1722.82</v>
      </c>
      <c r="M21" s="141">
        <f t="shared" si="1"/>
        <v>17232.170000000002</v>
      </c>
      <c r="N21" s="141"/>
      <c r="O21" s="170">
        <v>15000</v>
      </c>
      <c r="P21" s="152" t="s">
        <v>336</v>
      </c>
    </row>
    <row r="22" spans="1:16" ht="15.75" customHeight="1" x14ac:dyDescent="0.3">
      <c r="A22" s="33" t="s">
        <v>297</v>
      </c>
      <c r="B22" s="33" t="s">
        <v>1516</v>
      </c>
      <c r="C22" s="147" t="s">
        <v>410</v>
      </c>
      <c r="D22" s="171">
        <v>114182</v>
      </c>
      <c r="E22" s="158">
        <v>44241</v>
      </c>
      <c r="F22" s="143" t="s">
        <v>411</v>
      </c>
      <c r="G22" s="308">
        <v>2012</v>
      </c>
      <c r="H22" s="139" t="s">
        <v>16</v>
      </c>
      <c r="I22" s="139" t="s">
        <v>17</v>
      </c>
      <c r="J22" s="141">
        <v>9743.9500000000007</v>
      </c>
      <c r="K22" s="141"/>
      <c r="L22" s="141">
        <v>2072.16</v>
      </c>
      <c r="M22" s="141">
        <f t="shared" si="1"/>
        <v>11816.11</v>
      </c>
      <c r="N22" s="141"/>
      <c r="O22" s="175">
        <v>11000</v>
      </c>
      <c r="P22" s="152" t="s">
        <v>336</v>
      </c>
    </row>
    <row r="23" spans="1:16" ht="15.75" customHeight="1" x14ac:dyDescent="0.3">
      <c r="A23" s="33" t="s">
        <v>297</v>
      </c>
      <c r="B23" s="33" t="s">
        <v>1523</v>
      </c>
      <c r="C23" s="147" t="s">
        <v>412</v>
      </c>
      <c r="D23" s="171">
        <v>144291</v>
      </c>
      <c r="E23" s="158">
        <v>44263</v>
      </c>
      <c r="F23" s="143" t="s">
        <v>413</v>
      </c>
      <c r="G23" s="308">
        <v>2015</v>
      </c>
      <c r="H23" s="139" t="s">
        <v>16</v>
      </c>
      <c r="I23" s="139" t="s">
        <v>414</v>
      </c>
      <c r="J23" s="141">
        <v>7247.75</v>
      </c>
      <c r="K23" s="141"/>
      <c r="L23" s="141">
        <v>1587.05</v>
      </c>
      <c r="M23" s="141">
        <f t="shared" si="1"/>
        <v>8834.7999999999993</v>
      </c>
      <c r="N23" s="141"/>
      <c r="O23" s="175">
        <v>9990</v>
      </c>
      <c r="P23" s="152" t="s">
        <v>336</v>
      </c>
    </row>
    <row r="24" spans="1:16" ht="15.75" customHeight="1" x14ac:dyDescent="0.3">
      <c r="A24" s="33" t="s">
        <v>297</v>
      </c>
      <c r="B24" s="33" t="s">
        <v>1523</v>
      </c>
      <c r="C24" s="147" t="s">
        <v>428</v>
      </c>
      <c r="D24" s="171">
        <v>37962</v>
      </c>
      <c r="E24" s="158">
        <v>44322</v>
      </c>
      <c r="F24" s="143" t="s">
        <v>429</v>
      </c>
      <c r="G24" s="308">
        <v>2010</v>
      </c>
      <c r="H24" s="139" t="s">
        <v>49</v>
      </c>
      <c r="I24" s="139" t="s">
        <v>430</v>
      </c>
      <c r="J24" s="141">
        <v>5438.8</v>
      </c>
      <c r="K24" s="141"/>
      <c r="L24" s="141">
        <v>2661.1</v>
      </c>
      <c r="M24" s="141">
        <f t="shared" si="1"/>
        <v>8099.9</v>
      </c>
      <c r="N24" s="141"/>
      <c r="O24" s="170">
        <v>8000</v>
      </c>
      <c r="P24" s="152" t="s">
        <v>336</v>
      </c>
    </row>
    <row r="25" spans="1:16" ht="15.75" customHeight="1" x14ac:dyDescent="0.3">
      <c r="A25" s="33" t="s">
        <v>297</v>
      </c>
      <c r="B25" s="33" t="s">
        <v>1517</v>
      </c>
      <c r="C25" s="147" t="s">
        <v>438</v>
      </c>
      <c r="D25" s="171">
        <v>71265</v>
      </c>
      <c r="E25" s="158">
        <v>44353</v>
      </c>
      <c r="F25" s="143" t="s">
        <v>439</v>
      </c>
      <c r="G25" s="308">
        <v>2013</v>
      </c>
      <c r="H25" s="139" t="s">
        <v>37</v>
      </c>
      <c r="I25" s="139" t="s">
        <v>440</v>
      </c>
      <c r="J25" s="141">
        <v>11000.9</v>
      </c>
      <c r="K25" s="141"/>
      <c r="L25" s="141">
        <v>1547.85</v>
      </c>
      <c r="M25" s="141">
        <f t="shared" si="1"/>
        <v>12548.75</v>
      </c>
      <c r="N25" s="141"/>
      <c r="O25" s="170">
        <v>12600</v>
      </c>
      <c r="P25" s="152" t="s">
        <v>336</v>
      </c>
    </row>
    <row r="26" spans="1:16" ht="15.75" customHeight="1" x14ac:dyDescent="0.3">
      <c r="A26" s="33" t="s">
        <v>297</v>
      </c>
      <c r="B26" s="33" t="s">
        <v>1518</v>
      </c>
      <c r="C26" s="147" t="s">
        <v>442</v>
      </c>
      <c r="D26" s="171">
        <v>63046</v>
      </c>
      <c r="E26" s="158">
        <v>44367</v>
      </c>
      <c r="F26" s="143" t="s">
        <v>443</v>
      </c>
      <c r="G26" s="308">
        <v>2009</v>
      </c>
      <c r="H26" s="139" t="s">
        <v>96</v>
      </c>
      <c r="I26" s="139" t="s">
        <v>97</v>
      </c>
      <c r="J26" s="141">
        <v>10902</v>
      </c>
      <c r="K26" s="141"/>
      <c r="L26" s="141">
        <v>2426.96</v>
      </c>
      <c r="M26" s="141">
        <f t="shared" si="1"/>
        <v>13328.96</v>
      </c>
      <c r="N26" s="141"/>
      <c r="O26" s="170">
        <v>12000</v>
      </c>
      <c r="P26" s="152" t="s">
        <v>336</v>
      </c>
    </row>
    <row r="27" spans="1:16" ht="15.75" customHeight="1" x14ac:dyDescent="0.3">
      <c r="A27" s="33" t="s">
        <v>297</v>
      </c>
      <c r="B27" s="33" t="s">
        <v>1523</v>
      </c>
      <c r="C27" s="147" t="s">
        <v>446</v>
      </c>
      <c r="D27" s="171">
        <v>53176</v>
      </c>
      <c r="E27" s="158">
        <v>44384</v>
      </c>
      <c r="F27" s="143" t="s">
        <v>447</v>
      </c>
      <c r="G27" s="308">
        <v>2014</v>
      </c>
      <c r="H27" s="139" t="s">
        <v>77</v>
      </c>
      <c r="I27" s="139" t="s">
        <v>448</v>
      </c>
      <c r="J27" s="141">
        <v>11622.5</v>
      </c>
      <c r="K27" s="141"/>
      <c r="L27" s="141">
        <v>561.08000000000004</v>
      </c>
      <c r="M27" s="141">
        <f t="shared" si="1"/>
        <v>12183.58</v>
      </c>
      <c r="N27" s="141"/>
      <c r="O27" s="170">
        <v>13000</v>
      </c>
      <c r="P27" s="152" t="s">
        <v>336</v>
      </c>
    </row>
    <row r="28" spans="1:16" ht="15.75" customHeight="1" x14ac:dyDescent="0.3">
      <c r="A28" s="33" t="s">
        <v>297</v>
      </c>
      <c r="B28" s="33" t="s">
        <v>1519</v>
      </c>
      <c r="C28" s="147" t="s">
        <v>452</v>
      </c>
      <c r="D28" s="171">
        <v>69103</v>
      </c>
      <c r="E28" s="158">
        <v>44412</v>
      </c>
      <c r="F28" s="143" t="s">
        <v>443</v>
      </c>
      <c r="G28" s="308">
        <v>2011</v>
      </c>
      <c r="H28" s="139" t="s">
        <v>96</v>
      </c>
      <c r="I28" s="139" t="s">
        <v>97</v>
      </c>
      <c r="J28" s="141">
        <v>13612.9</v>
      </c>
      <c r="K28" s="141"/>
      <c r="L28" s="141">
        <v>324.16000000000003</v>
      </c>
      <c r="M28" s="141">
        <f t="shared" si="1"/>
        <v>13937.06</v>
      </c>
      <c r="N28" s="141"/>
      <c r="O28" s="170">
        <v>14000</v>
      </c>
      <c r="P28" s="152" t="s">
        <v>336</v>
      </c>
    </row>
    <row r="29" spans="1:16" ht="15.75" customHeight="1" x14ac:dyDescent="0.3">
      <c r="A29" s="33" t="s">
        <v>297</v>
      </c>
      <c r="B29" s="33" t="s">
        <v>1523</v>
      </c>
      <c r="C29" s="147" t="s">
        <v>453</v>
      </c>
      <c r="D29" s="171">
        <v>72106</v>
      </c>
      <c r="E29" s="158">
        <v>44412</v>
      </c>
      <c r="F29" s="143" t="s">
        <v>454</v>
      </c>
      <c r="G29" s="308">
        <v>2014</v>
      </c>
      <c r="H29" s="139" t="s">
        <v>77</v>
      </c>
      <c r="I29" s="139" t="s">
        <v>455</v>
      </c>
      <c r="J29" s="141">
        <v>14342.8</v>
      </c>
      <c r="K29" s="141"/>
      <c r="L29" s="141">
        <v>4086.82</v>
      </c>
      <c r="M29" s="141">
        <f t="shared" si="1"/>
        <v>18429.62</v>
      </c>
      <c r="N29" s="141"/>
      <c r="O29" s="170">
        <v>18500</v>
      </c>
      <c r="P29" s="152" t="s">
        <v>336</v>
      </c>
    </row>
    <row r="30" spans="1:16" ht="15.75" customHeight="1" x14ac:dyDescent="0.3">
      <c r="A30" s="33" t="s">
        <v>297</v>
      </c>
      <c r="B30" s="33" t="s">
        <v>1523</v>
      </c>
      <c r="C30" s="147" t="s">
        <v>459</v>
      </c>
      <c r="D30" s="171">
        <v>101287</v>
      </c>
      <c r="E30" s="158">
        <v>44432</v>
      </c>
      <c r="F30" s="143" t="s">
        <v>460</v>
      </c>
      <c r="G30" s="308">
        <v>2008</v>
      </c>
      <c r="H30" s="139" t="s">
        <v>96</v>
      </c>
      <c r="I30" s="139" t="s">
        <v>97</v>
      </c>
      <c r="J30" s="141">
        <v>6568.1</v>
      </c>
      <c r="K30" s="141"/>
      <c r="L30" s="141">
        <v>1805.5</v>
      </c>
      <c r="M30" s="141">
        <f t="shared" si="1"/>
        <v>8373.6</v>
      </c>
      <c r="N30" s="141"/>
      <c r="O30" s="170">
        <v>8390.6</v>
      </c>
      <c r="P30" s="152" t="s">
        <v>336</v>
      </c>
    </row>
    <row r="31" spans="1:16" ht="15.75" customHeight="1" x14ac:dyDescent="0.3">
      <c r="A31" s="248" t="s">
        <v>297</v>
      </c>
      <c r="B31" s="319" t="s">
        <v>1523</v>
      </c>
      <c r="C31" s="147" t="s">
        <v>461</v>
      </c>
      <c r="D31" s="171">
        <v>107149</v>
      </c>
      <c r="E31" s="158">
        <v>44432</v>
      </c>
      <c r="F31" s="143" t="s">
        <v>460</v>
      </c>
      <c r="G31" s="308">
        <v>2010</v>
      </c>
      <c r="H31" s="139" t="s">
        <v>16</v>
      </c>
      <c r="I31" s="139" t="s">
        <v>17</v>
      </c>
      <c r="J31" s="141">
        <v>7279</v>
      </c>
      <c r="K31" s="141"/>
      <c r="L31" s="141"/>
      <c r="M31" s="141">
        <f t="shared" si="1"/>
        <v>7279</v>
      </c>
      <c r="N31" s="141"/>
      <c r="O31" s="170">
        <v>8200</v>
      </c>
      <c r="P31" s="152" t="s">
        <v>336</v>
      </c>
    </row>
    <row r="32" spans="1:16" ht="15.75" customHeight="1" x14ac:dyDescent="0.3">
      <c r="A32" s="248" t="s">
        <v>297</v>
      </c>
      <c r="B32" s="319" t="s">
        <v>1520</v>
      </c>
      <c r="C32" s="147" t="s">
        <v>466</v>
      </c>
      <c r="D32" s="171">
        <v>30359</v>
      </c>
      <c r="E32" s="158">
        <v>44460</v>
      </c>
      <c r="F32" s="143" t="s">
        <v>467</v>
      </c>
      <c r="G32" s="308">
        <v>2012</v>
      </c>
      <c r="H32" s="139" t="s">
        <v>29</v>
      </c>
      <c r="I32" s="139" t="s">
        <v>468</v>
      </c>
      <c r="J32" s="141">
        <v>15854.25</v>
      </c>
      <c r="K32" s="141"/>
      <c r="L32" s="141">
        <v>1418.01</v>
      </c>
      <c r="M32" s="141">
        <f t="shared" si="1"/>
        <v>17272.259999999998</v>
      </c>
      <c r="N32" s="141"/>
      <c r="O32" s="154"/>
      <c r="P32" s="152" t="s">
        <v>336</v>
      </c>
    </row>
    <row r="33" spans="1:16" ht="15.75" customHeight="1" x14ac:dyDescent="0.3">
      <c r="A33" s="248" t="s">
        <v>297</v>
      </c>
      <c r="B33" s="248" t="s">
        <v>1521</v>
      </c>
      <c r="C33" s="6" t="s">
        <v>484</v>
      </c>
      <c r="D33" s="27">
        <v>94428</v>
      </c>
      <c r="E33" s="13">
        <v>44526</v>
      </c>
      <c r="F33" s="5" t="s">
        <v>485</v>
      </c>
      <c r="G33" s="190">
        <v>2008</v>
      </c>
      <c r="H33" s="125" t="s">
        <v>450</v>
      </c>
      <c r="I33" s="125" t="s">
        <v>451</v>
      </c>
      <c r="J33" s="124">
        <v>6195</v>
      </c>
      <c r="K33" s="124"/>
      <c r="L33" s="124">
        <v>1932.18</v>
      </c>
      <c r="M33" s="11">
        <f t="shared" si="1"/>
        <v>8127.18</v>
      </c>
      <c r="N33" s="11"/>
      <c r="O33" s="34">
        <v>8800</v>
      </c>
      <c r="P33" s="12" t="s">
        <v>336</v>
      </c>
    </row>
    <row r="34" spans="1:16" ht="15.75" customHeight="1" x14ac:dyDescent="0.3">
      <c r="A34" s="22" t="s">
        <v>1446</v>
      </c>
      <c r="B34" s="33" t="s">
        <v>1523</v>
      </c>
      <c r="C34" s="40" t="s">
        <v>497</v>
      </c>
      <c r="D34" s="42">
        <v>63033</v>
      </c>
      <c r="E34" s="41">
        <v>44604</v>
      </c>
      <c r="F34" s="22" t="s">
        <v>495</v>
      </c>
      <c r="G34" s="266" t="s">
        <v>498</v>
      </c>
      <c r="H34" s="266" t="s">
        <v>77</v>
      </c>
      <c r="I34" s="266" t="s">
        <v>168</v>
      </c>
      <c r="J34" s="11">
        <v>22985.75</v>
      </c>
      <c r="K34" s="11"/>
      <c r="M34" s="11">
        <f t="shared" si="1"/>
        <v>22985.75</v>
      </c>
      <c r="N34" s="11"/>
      <c r="P34" s="12" t="s">
        <v>336</v>
      </c>
    </row>
    <row r="35" spans="1:16" ht="15.75" customHeight="1" x14ac:dyDescent="0.3">
      <c r="A35" s="22" t="s">
        <v>1446</v>
      </c>
      <c r="B35" s="33" t="s">
        <v>1523</v>
      </c>
      <c r="C35" s="47" t="s">
        <v>488</v>
      </c>
      <c r="D35" s="27">
        <v>32518</v>
      </c>
      <c r="E35" s="41">
        <v>44609</v>
      </c>
      <c r="F35" s="22" t="s">
        <v>178</v>
      </c>
      <c r="G35" s="266" t="s">
        <v>278</v>
      </c>
      <c r="H35" s="266" t="s">
        <v>489</v>
      </c>
      <c r="I35" s="266" t="s">
        <v>490</v>
      </c>
      <c r="J35" s="11">
        <v>12972.7</v>
      </c>
      <c r="K35" s="11"/>
      <c r="M35" s="11">
        <f t="shared" si="1"/>
        <v>12972.7</v>
      </c>
      <c r="N35" s="11"/>
      <c r="P35" s="12" t="s">
        <v>336</v>
      </c>
    </row>
    <row r="36" spans="1:16" ht="15.75" customHeight="1" x14ac:dyDescent="0.3">
      <c r="A36" s="22" t="s">
        <v>1446</v>
      </c>
      <c r="B36" s="22" t="s">
        <v>1522</v>
      </c>
      <c r="C36" s="251" t="s">
        <v>501</v>
      </c>
      <c r="D36" s="161">
        <v>99023</v>
      </c>
      <c r="E36" s="162">
        <v>44609</v>
      </c>
      <c r="F36" s="187" t="s">
        <v>178</v>
      </c>
      <c r="G36" s="267" t="s">
        <v>278</v>
      </c>
      <c r="H36" s="267" t="s">
        <v>16</v>
      </c>
      <c r="I36" s="267" t="s">
        <v>234</v>
      </c>
      <c r="J36" s="141">
        <v>18041.900000000001</v>
      </c>
      <c r="K36" s="141"/>
      <c r="L36" s="163">
        <f>331</f>
        <v>331</v>
      </c>
      <c r="M36" s="141">
        <f t="shared" si="1"/>
        <v>18372.900000000001</v>
      </c>
      <c r="N36" s="141"/>
      <c r="O36" s="164">
        <f>M36+500</f>
        <v>18872.900000000001</v>
      </c>
      <c r="P36" s="152" t="s">
        <v>336</v>
      </c>
    </row>
    <row r="37" spans="1:16" ht="15.75" customHeight="1" x14ac:dyDescent="0.3">
      <c r="A37" s="249" t="s">
        <v>297</v>
      </c>
      <c r="B37" s="249" t="s">
        <v>1523</v>
      </c>
      <c r="C37" s="48" t="s">
        <v>519</v>
      </c>
      <c r="D37" s="136">
        <v>109915</v>
      </c>
      <c r="E37" s="41">
        <v>44662</v>
      </c>
      <c r="F37" s="22" t="s">
        <v>517</v>
      </c>
      <c r="G37" s="305" t="s">
        <v>520</v>
      </c>
      <c r="H37" s="305" t="s">
        <v>96</v>
      </c>
      <c r="I37" s="305" t="s">
        <v>317</v>
      </c>
      <c r="J37" s="11">
        <v>20967.5</v>
      </c>
      <c r="K37" s="11"/>
      <c r="L37" s="49">
        <v>2180.65</v>
      </c>
      <c r="M37" s="11">
        <f t="shared" si="1"/>
        <v>23148.15</v>
      </c>
      <c r="N37" s="11"/>
      <c r="P37" t="s">
        <v>336</v>
      </c>
    </row>
    <row r="38" spans="1:16" ht="15.75" customHeight="1" x14ac:dyDescent="0.3">
      <c r="A38" s="249" t="s">
        <v>1437</v>
      </c>
      <c r="B38" s="249" t="s">
        <v>1523</v>
      </c>
      <c r="C38" s="37" t="s">
        <v>521</v>
      </c>
      <c r="D38" s="136">
        <v>71279</v>
      </c>
      <c r="E38" s="41">
        <v>44662</v>
      </c>
      <c r="F38" s="22" t="s">
        <v>517</v>
      </c>
      <c r="G38" s="114" t="s">
        <v>522</v>
      </c>
      <c r="H38" s="114" t="s">
        <v>77</v>
      </c>
      <c r="I38" s="114" t="s">
        <v>168</v>
      </c>
      <c r="J38" s="11">
        <v>19189.599999999999</v>
      </c>
      <c r="K38" s="11"/>
      <c r="L38">
        <v>713.89</v>
      </c>
      <c r="M38" s="11">
        <f t="shared" si="1"/>
        <v>19903.489999999998</v>
      </c>
      <c r="N38" s="104">
        <f>+M38+500</f>
        <v>20403.489999999998</v>
      </c>
      <c r="P38" t="s">
        <v>336</v>
      </c>
    </row>
    <row r="39" spans="1:16" ht="15.75" customHeight="1" x14ac:dyDescent="0.3">
      <c r="A39" s="249" t="s">
        <v>297</v>
      </c>
      <c r="B39" s="249" t="s">
        <v>1523</v>
      </c>
      <c r="C39" s="37" t="s">
        <v>526</v>
      </c>
      <c r="D39" s="136">
        <v>58049</v>
      </c>
      <c r="E39" s="41">
        <v>44662</v>
      </c>
      <c r="F39" s="22" t="s">
        <v>517</v>
      </c>
      <c r="G39" s="114" t="s">
        <v>520</v>
      </c>
      <c r="H39" s="114" t="s">
        <v>450</v>
      </c>
      <c r="I39" s="114" t="s">
        <v>451</v>
      </c>
      <c r="J39" s="11">
        <v>13562.65</v>
      </c>
      <c r="K39" s="11"/>
      <c r="M39" s="11">
        <f t="shared" si="1"/>
        <v>13562.65</v>
      </c>
      <c r="N39" s="11"/>
      <c r="P39" t="s">
        <v>336</v>
      </c>
    </row>
    <row r="40" spans="1:16" ht="15.75" customHeight="1" x14ac:dyDescent="0.3">
      <c r="A40" s="249" t="s">
        <v>297</v>
      </c>
      <c r="B40" s="249" t="s">
        <v>1523</v>
      </c>
      <c r="C40" s="150" t="s">
        <v>531</v>
      </c>
      <c r="D40" s="27">
        <v>20775</v>
      </c>
      <c r="E40" s="249" t="s">
        <v>290</v>
      </c>
      <c r="F40" s="265" t="s">
        <v>532</v>
      </c>
      <c r="G40" s="268">
        <v>2011</v>
      </c>
      <c r="H40" s="25" t="s">
        <v>77</v>
      </c>
      <c r="I40" s="25" t="s">
        <v>455</v>
      </c>
      <c r="J40" s="11">
        <v>12979.7</v>
      </c>
      <c r="K40" s="11"/>
      <c r="M40" s="11">
        <f t="shared" si="1"/>
        <v>12979.7</v>
      </c>
      <c r="N40" s="11"/>
      <c r="P40" t="s">
        <v>336</v>
      </c>
    </row>
    <row r="41" spans="1:16" ht="15.75" customHeight="1" x14ac:dyDescent="0.3">
      <c r="A41" s="249" t="s">
        <v>1287</v>
      </c>
      <c r="B41" s="249" t="s">
        <v>1523</v>
      </c>
      <c r="C41" s="249" t="s">
        <v>1140</v>
      </c>
      <c r="E41" s="249"/>
      <c r="F41" s="249"/>
      <c r="G41" s="260"/>
      <c r="H41" s="260" t="s">
        <v>1148</v>
      </c>
      <c r="I41" s="260" t="s">
        <v>813</v>
      </c>
      <c r="J41" s="103">
        <v>15590.5</v>
      </c>
      <c r="L41" s="53">
        <f>483+36.74</f>
        <v>519.74</v>
      </c>
      <c r="M41" s="11">
        <f t="shared" si="1"/>
        <v>16110.24</v>
      </c>
      <c r="N41" s="104">
        <f>+M41+500</f>
        <v>16610.239999999998</v>
      </c>
      <c r="P41" t="s">
        <v>336</v>
      </c>
    </row>
    <row r="42" spans="1:16" ht="15.75" customHeight="1" x14ac:dyDescent="0.3">
      <c r="A42" s="397" t="s">
        <v>1287</v>
      </c>
      <c r="B42" s="399" t="s">
        <v>1524</v>
      </c>
      <c r="C42" s="245" t="s">
        <v>1141</v>
      </c>
      <c r="E42" s="249"/>
      <c r="F42" s="249"/>
      <c r="G42" s="260">
        <v>2008</v>
      </c>
      <c r="H42" s="260" t="s">
        <v>1144</v>
      </c>
      <c r="I42" s="260" t="s">
        <v>1149</v>
      </c>
      <c r="J42" s="103">
        <v>11689.6</v>
      </c>
      <c r="L42" s="53">
        <v>182.85</v>
      </c>
      <c r="M42" s="11">
        <f t="shared" si="1"/>
        <v>11872.45</v>
      </c>
      <c r="N42" s="104">
        <f>+M42+500</f>
        <v>12372.45</v>
      </c>
      <c r="P42" t="s">
        <v>336</v>
      </c>
    </row>
    <row r="43" spans="1:16" ht="15.75" customHeight="1" x14ac:dyDescent="0.3">
      <c r="A43" s="249" t="s">
        <v>1190</v>
      </c>
      <c r="B43" s="249" t="s">
        <v>1523</v>
      </c>
      <c r="C43" s="252" t="s">
        <v>1188</v>
      </c>
      <c r="E43" s="249"/>
      <c r="F43" s="249"/>
      <c r="G43" s="260">
        <v>2009</v>
      </c>
      <c r="H43" s="309" t="s">
        <v>21</v>
      </c>
      <c r="I43" s="309" t="s">
        <v>1189</v>
      </c>
      <c r="J43" s="11">
        <v>9515.5</v>
      </c>
      <c r="K43" s="11"/>
      <c r="L43">
        <v>3984.75</v>
      </c>
      <c r="M43" s="11">
        <f t="shared" si="1"/>
        <v>13500.25</v>
      </c>
      <c r="N43" s="11">
        <f>SUM(M43+500)</f>
        <v>14000.25</v>
      </c>
      <c r="P43" t="s">
        <v>336</v>
      </c>
    </row>
    <row r="44" spans="1:16" ht="15.75" customHeight="1" x14ac:dyDescent="0.3">
      <c r="A44" s="249" t="s">
        <v>1287</v>
      </c>
      <c r="B44" s="249" t="s">
        <v>1523</v>
      </c>
      <c r="C44" s="51" t="s">
        <v>1150</v>
      </c>
      <c r="D44" s="27">
        <v>34031</v>
      </c>
      <c r="E44" s="41">
        <v>44668</v>
      </c>
      <c r="F44" s="22" t="s">
        <v>528</v>
      </c>
      <c r="G44" s="260">
        <v>2014</v>
      </c>
      <c r="H44" s="305" t="s">
        <v>542</v>
      </c>
      <c r="I44" s="305" t="s">
        <v>1151</v>
      </c>
      <c r="J44" s="11">
        <v>14219.6</v>
      </c>
      <c r="K44" s="11"/>
      <c r="L44" s="53">
        <v>3208.65</v>
      </c>
      <c r="M44" s="11">
        <f t="shared" si="1"/>
        <v>17428.25</v>
      </c>
      <c r="N44" s="11"/>
      <c r="P44" s="12" t="s">
        <v>336</v>
      </c>
    </row>
    <row r="45" spans="1:16" ht="15.75" customHeight="1" x14ac:dyDescent="0.3">
      <c r="A45" s="22" t="s">
        <v>1446</v>
      </c>
      <c r="B45" s="398" t="s">
        <v>1523</v>
      </c>
      <c r="C45" s="47" t="s">
        <v>504</v>
      </c>
      <c r="D45" s="27">
        <v>66162</v>
      </c>
      <c r="E45" s="41">
        <v>44629</v>
      </c>
      <c r="F45" s="5" t="s">
        <v>505</v>
      </c>
      <c r="G45" s="190">
        <v>2011</v>
      </c>
      <c r="H45" s="125" t="s">
        <v>506</v>
      </c>
      <c r="I45" s="125" t="s">
        <v>496</v>
      </c>
      <c r="J45" s="11">
        <v>16082.3</v>
      </c>
      <c r="K45" s="11"/>
      <c r="M45" s="11">
        <f t="shared" si="1"/>
        <v>16082.3</v>
      </c>
      <c r="N45" s="11"/>
      <c r="O45" s="53">
        <v>16082.4</v>
      </c>
      <c r="P45" s="12" t="s">
        <v>1135</v>
      </c>
    </row>
    <row r="46" spans="1:16" ht="15.75" customHeight="1" x14ac:dyDescent="0.3">
      <c r="A46" s="249" t="s">
        <v>297</v>
      </c>
      <c r="B46" s="249" t="s">
        <v>1523</v>
      </c>
      <c r="C46" s="51" t="s">
        <v>541</v>
      </c>
      <c r="D46" s="136">
        <v>33453</v>
      </c>
      <c r="E46" s="38">
        <v>44668</v>
      </c>
      <c r="F46" s="265" t="s">
        <v>528</v>
      </c>
      <c r="G46" s="260">
        <v>2011</v>
      </c>
      <c r="H46" s="310" t="s">
        <v>542</v>
      </c>
      <c r="I46" s="310" t="s">
        <v>543</v>
      </c>
      <c r="J46" s="11">
        <v>13551.05</v>
      </c>
      <c r="K46" s="11"/>
      <c r="L46" s="53">
        <v>1451.34</v>
      </c>
      <c r="M46" s="11">
        <f t="shared" si="1"/>
        <v>15002.39</v>
      </c>
      <c r="N46" s="11"/>
      <c r="O46" s="53">
        <v>15002.39</v>
      </c>
      <c r="P46" t="s">
        <v>1135</v>
      </c>
    </row>
    <row r="47" spans="1:16" ht="15.75" customHeight="1" x14ac:dyDescent="0.3">
      <c r="A47" s="33" t="s">
        <v>297</v>
      </c>
      <c r="B47" s="33" t="s">
        <v>1523</v>
      </c>
      <c r="C47" s="147" t="s">
        <v>369</v>
      </c>
      <c r="D47" s="171">
        <v>96924</v>
      </c>
      <c r="E47" s="158">
        <v>43803</v>
      </c>
      <c r="F47" s="143" t="s">
        <v>344</v>
      </c>
      <c r="G47" s="308">
        <v>2009</v>
      </c>
      <c r="H47" s="139" t="s">
        <v>143</v>
      </c>
      <c r="I47" s="139" t="s">
        <v>370</v>
      </c>
      <c r="J47" s="141">
        <v>13521.95</v>
      </c>
      <c r="K47" s="141"/>
      <c r="L47" s="141">
        <v>4203.7700000000004</v>
      </c>
      <c r="M47" s="141">
        <f t="shared" si="1"/>
        <v>17725.72</v>
      </c>
      <c r="N47" s="141"/>
      <c r="O47" s="176">
        <v>7960</v>
      </c>
      <c r="P47" t="s">
        <v>1135</v>
      </c>
    </row>
    <row r="48" spans="1:16" ht="15.75" customHeight="1" x14ac:dyDescent="0.3">
      <c r="A48" s="33" t="s">
        <v>297</v>
      </c>
      <c r="B48" s="33" t="s">
        <v>1525</v>
      </c>
      <c r="C48" s="147" t="s">
        <v>394</v>
      </c>
      <c r="D48" s="171">
        <v>81190</v>
      </c>
      <c r="E48" s="158">
        <v>44160</v>
      </c>
      <c r="F48" s="143" t="s">
        <v>36</v>
      </c>
      <c r="G48" s="308">
        <v>2007</v>
      </c>
      <c r="H48" s="139" t="s">
        <v>212</v>
      </c>
      <c r="I48" s="139" t="s">
        <v>284</v>
      </c>
      <c r="J48" s="141">
        <v>6750.45</v>
      </c>
      <c r="K48" s="141"/>
      <c r="L48" s="141">
        <v>1630.41</v>
      </c>
      <c r="M48" s="141">
        <f t="shared" si="1"/>
        <v>8380.86</v>
      </c>
      <c r="N48" s="141"/>
      <c r="O48" s="176">
        <v>3500</v>
      </c>
      <c r="P48" t="s">
        <v>1135</v>
      </c>
    </row>
    <row r="49" spans="1:17" ht="15.75" customHeight="1" x14ac:dyDescent="0.3">
      <c r="A49" s="33" t="s">
        <v>297</v>
      </c>
      <c r="B49" s="33" t="s">
        <v>1523</v>
      </c>
      <c r="C49" s="147" t="s">
        <v>424</v>
      </c>
      <c r="D49" s="171">
        <v>72604</v>
      </c>
      <c r="E49" s="158">
        <v>44289</v>
      </c>
      <c r="F49" s="143" t="s">
        <v>425</v>
      </c>
      <c r="G49" s="308">
        <v>2010</v>
      </c>
      <c r="H49" s="139" t="s">
        <v>143</v>
      </c>
      <c r="I49" s="139" t="s">
        <v>195</v>
      </c>
      <c r="J49" s="141">
        <v>5249.05</v>
      </c>
      <c r="K49" s="141"/>
      <c r="L49" s="141">
        <v>1375.4</v>
      </c>
      <c r="M49" s="141">
        <f t="shared" si="1"/>
        <v>6624.4500000000007</v>
      </c>
      <c r="N49" s="141"/>
      <c r="O49" s="176">
        <v>6624</v>
      </c>
      <c r="P49" t="s">
        <v>1135</v>
      </c>
    </row>
    <row r="50" spans="1:17" ht="15.75" customHeight="1" x14ac:dyDescent="0.3">
      <c r="A50" s="33" t="s">
        <v>297</v>
      </c>
      <c r="B50" s="33" t="s">
        <v>1523</v>
      </c>
      <c r="C50" s="147" t="s">
        <v>367</v>
      </c>
      <c r="D50" s="171">
        <v>72667</v>
      </c>
      <c r="E50" s="158">
        <v>43803</v>
      </c>
      <c r="F50" s="143" t="s">
        <v>344</v>
      </c>
      <c r="G50" s="308">
        <v>2007</v>
      </c>
      <c r="H50" s="139" t="s">
        <v>21</v>
      </c>
      <c r="I50" s="139" t="s">
        <v>368</v>
      </c>
      <c r="J50" s="141">
        <v>7959.4</v>
      </c>
      <c r="K50" s="141"/>
      <c r="L50" s="141">
        <v>3649.92</v>
      </c>
      <c r="M50" s="141">
        <f t="shared" si="1"/>
        <v>11609.32</v>
      </c>
      <c r="N50" s="141"/>
      <c r="O50" s="301">
        <v>7500</v>
      </c>
      <c r="P50" s="152" t="s">
        <v>1135</v>
      </c>
    </row>
    <row r="51" spans="1:17" ht="15.75" customHeight="1" x14ac:dyDescent="0.3">
      <c r="A51" s="33" t="s">
        <v>1617</v>
      </c>
      <c r="B51" s="33" t="s">
        <v>1523</v>
      </c>
      <c r="C51" s="147" t="s">
        <v>427</v>
      </c>
      <c r="D51" s="271">
        <v>122433</v>
      </c>
      <c r="E51" s="158">
        <v>44310</v>
      </c>
      <c r="F51" s="143" t="s">
        <v>211</v>
      </c>
      <c r="G51" s="308">
        <v>2008</v>
      </c>
      <c r="H51" s="139" t="s">
        <v>16</v>
      </c>
      <c r="I51" s="139" t="s">
        <v>234</v>
      </c>
      <c r="J51" s="141">
        <v>8810</v>
      </c>
      <c r="K51" s="141"/>
      <c r="L51" s="141">
        <f>1912.45+1499.32</f>
        <v>3411.77</v>
      </c>
      <c r="M51" s="141">
        <f t="shared" si="1"/>
        <v>12221.77</v>
      </c>
      <c r="N51" s="141">
        <f>+M51+500</f>
        <v>12721.77</v>
      </c>
      <c r="O51" s="154"/>
      <c r="P51" s="152" t="s">
        <v>1135</v>
      </c>
    </row>
    <row r="52" spans="1:17" ht="15.75" customHeight="1" x14ac:dyDescent="0.3">
      <c r="A52" s="249" t="s">
        <v>1287</v>
      </c>
      <c r="B52" s="33" t="s">
        <v>1523</v>
      </c>
      <c r="C52" s="113" t="s">
        <v>1450</v>
      </c>
      <c r="D52" s="108"/>
      <c r="E52" s="260"/>
      <c r="F52" s="260"/>
      <c r="G52" s="114" t="s">
        <v>283</v>
      </c>
      <c r="H52" s="114" t="s">
        <v>96</v>
      </c>
      <c r="I52" s="114" t="s">
        <v>97</v>
      </c>
      <c r="J52" s="220">
        <v>11906.5</v>
      </c>
      <c r="L52" s="53">
        <f>2388.67+209.5</f>
        <v>2598.17</v>
      </c>
      <c r="M52" s="11">
        <f t="shared" si="1"/>
        <v>14504.67</v>
      </c>
      <c r="N52" s="11">
        <f>SUM(M52+500)</f>
        <v>15004.67</v>
      </c>
      <c r="P52" s="154" t="s">
        <v>1135</v>
      </c>
    </row>
    <row r="53" spans="1:17" ht="15.75" customHeight="1" x14ac:dyDescent="0.3">
      <c r="A53" s="33" t="s">
        <v>297</v>
      </c>
      <c r="B53" s="33" t="s">
        <v>1471</v>
      </c>
      <c r="C53" s="172" t="s">
        <v>305</v>
      </c>
      <c r="D53" s="166">
        <v>121258</v>
      </c>
      <c r="E53" s="167">
        <v>43477</v>
      </c>
      <c r="F53" s="142" t="s">
        <v>32</v>
      </c>
      <c r="G53" s="195">
        <v>2011</v>
      </c>
      <c r="H53" s="196" t="s">
        <v>16</v>
      </c>
      <c r="I53" s="196" t="s">
        <v>306</v>
      </c>
      <c r="J53" s="168">
        <v>8392.7000000000007</v>
      </c>
      <c r="K53" s="168"/>
      <c r="L53" s="168">
        <v>2788.82</v>
      </c>
      <c r="M53" s="168">
        <f t="shared" si="1"/>
        <v>11181.52</v>
      </c>
      <c r="N53" s="168"/>
      <c r="O53" s="170">
        <v>9000</v>
      </c>
      <c r="P53" s="169" t="s">
        <v>26</v>
      </c>
      <c r="Q53" s="173" t="s">
        <v>1621</v>
      </c>
    </row>
    <row r="54" spans="1:17" ht="15.75" customHeight="1" x14ac:dyDescent="0.3">
      <c r="A54" s="33" t="s">
        <v>297</v>
      </c>
      <c r="B54" s="33" t="s">
        <v>1523</v>
      </c>
      <c r="C54" s="147" t="s">
        <v>441</v>
      </c>
      <c r="D54" s="171">
        <v>129013</v>
      </c>
      <c r="E54" s="158">
        <v>44353</v>
      </c>
      <c r="F54" s="143" t="s">
        <v>439</v>
      </c>
      <c r="G54" s="308">
        <v>2008</v>
      </c>
      <c r="H54" s="139" t="s">
        <v>96</v>
      </c>
      <c r="I54" s="139" t="s">
        <v>97</v>
      </c>
      <c r="J54" s="141">
        <v>5200</v>
      </c>
      <c r="K54" s="141"/>
      <c r="L54" s="141">
        <v>1725</v>
      </c>
      <c r="M54" s="141">
        <f t="shared" si="1"/>
        <v>6925</v>
      </c>
      <c r="N54" s="141"/>
      <c r="O54" s="170"/>
      <c r="P54" s="152" t="s">
        <v>320</v>
      </c>
    </row>
    <row r="55" spans="1:17" ht="15.75" customHeight="1" x14ac:dyDescent="0.3">
      <c r="A55" s="33" t="s">
        <v>297</v>
      </c>
      <c r="B55" s="33" t="s">
        <v>1526</v>
      </c>
      <c r="C55" s="147" t="s">
        <v>477</v>
      </c>
      <c r="D55" s="171">
        <v>174520</v>
      </c>
      <c r="E55" s="158">
        <v>44479</v>
      </c>
      <c r="F55" s="143" t="s">
        <v>460</v>
      </c>
      <c r="G55" s="311">
        <v>2012</v>
      </c>
      <c r="H55" s="146" t="s">
        <v>16</v>
      </c>
      <c r="I55" s="146" t="s">
        <v>198</v>
      </c>
      <c r="J55" s="177">
        <v>5901.2</v>
      </c>
      <c r="K55" s="177"/>
      <c r="L55" s="141">
        <v>1772.44</v>
      </c>
      <c r="M55" s="141">
        <f t="shared" si="1"/>
        <v>7673.6399999999994</v>
      </c>
      <c r="N55" s="141"/>
      <c r="O55" s="154"/>
      <c r="P55" s="152" t="s">
        <v>26</v>
      </c>
    </row>
    <row r="56" spans="1:17" ht="15.75" customHeight="1" x14ac:dyDescent="0.3">
      <c r="A56" s="22" t="s">
        <v>502</v>
      </c>
      <c r="B56" s="22" t="s">
        <v>1527</v>
      </c>
      <c r="C56" s="28" t="s">
        <v>503</v>
      </c>
      <c r="D56" s="46">
        <v>45218</v>
      </c>
      <c r="E56" s="41">
        <v>44609</v>
      </c>
      <c r="F56" s="22" t="s">
        <v>178</v>
      </c>
      <c r="G56" s="268">
        <v>2016</v>
      </c>
      <c r="H56" s="25" t="s">
        <v>96</v>
      </c>
      <c r="I56" s="25" t="s">
        <v>97</v>
      </c>
      <c r="J56" s="11">
        <v>24379.5</v>
      </c>
      <c r="K56" s="11"/>
      <c r="M56" s="11">
        <f t="shared" si="1"/>
        <v>24379.5</v>
      </c>
      <c r="N56" s="11"/>
      <c r="P56" s="12" t="s">
        <v>26</v>
      </c>
    </row>
    <row r="57" spans="1:17" ht="15.75" customHeight="1" x14ac:dyDescent="0.3">
      <c r="A57" s="249" t="s">
        <v>1383</v>
      </c>
      <c r="B57" s="249" t="s">
        <v>1523</v>
      </c>
      <c r="C57" s="254" t="s">
        <v>523</v>
      </c>
      <c r="D57" s="136">
        <v>101386</v>
      </c>
      <c r="E57" s="41">
        <v>44662</v>
      </c>
      <c r="F57" s="22" t="s">
        <v>517</v>
      </c>
      <c r="G57" s="268">
        <v>2013</v>
      </c>
      <c r="H57" s="25" t="s">
        <v>77</v>
      </c>
      <c r="I57" s="25" t="s">
        <v>82</v>
      </c>
      <c r="J57" s="11">
        <v>11235.35</v>
      </c>
      <c r="K57" s="11"/>
      <c r="L57" s="53">
        <v>414</v>
      </c>
      <c r="M57" s="11">
        <f t="shared" si="1"/>
        <v>11649.35</v>
      </c>
      <c r="N57" s="104">
        <f>+M57+500</f>
        <v>12149.35</v>
      </c>
      <c r="P57" t="s">
        <v>524</v>
      </c>
      <c r="Q57" s="419" t="s">
        <v>1634</v>
      </c>
    </row>
    <row r="58" spans="1:17" ht="15.75" customHeight="1" x14ac:dyDescent="0.3">
      <c r="A58" s="22" t="s">
        <v>297</v>
      </c>
      <c r="B58" s="22" t="s">
        <v>1471</v>
      </c>
      <c r="C58" s="48" t="s">
        <v>529</v>
      </c>
      <c r="D58" s="136">
        <v>128434</v>
      </c>
      <c r="E58" s="38">
        <v>44668</v>
      </c>
      <c r="F58" s="22" t="s">
        <v>528</v>
      </c>
      <c r="G58" s="266">
        <v>2013</v>
      </c>
      <c r="H58" s="266" t="s">
        <v>21</v>
      </c>
      <c r="I58" s="266" t="s">
        <v>380</v>
      </c>
      <c r="J58" s="11">
        <v>17329.75</v>
      </c>
      <c r="K58" s="11"/>
      <c r="L58">
        <v>1724.43</v>
      </c>
      <c r="M58" s="11">
        <f t="shared" si="1"/>
        <v>19054.18</v>
      </c>
      <c r="N58" s="11"/>
      <c r="P58" s="12" t="s">
        <v>320</v>
      </c>
    </row>
    <row r="59" spans="1:17" ht="15.75" customHeight="1" x14ac:dyDescent="0.3">
      <c r="A59" s="249" t="s">
        <v>297</v>
      </c>
      <c r="B59" s="249" t="s">
        <v>1523</v>
      </c>
      <c r="C59" s="51" t="s">
        <v>530</v>
      </c>
      <c r="D59" s="27">
        <v>87419</v>
      </c>
      <c r="E59" s="41">
        <v>44668</v>
      </c>
      <c r="F59" s="22" t="s">
        <v>528</v>
      </c>
      <c r="G59" s="260">
        <v>2013</v>
      </c>
      <c r="H59" s="305" t="s">
        <v>21</v>
      </c>
      <c r="I59" s="305" t="s">
        <v>380</v>
      </c>
      <c r="J59" s="11">
        <v>16075.4</v>
      </c>
      <c r="K59" s="11"/>
      <c r="M59" s="11">
        <f t="shared" si="1"/>
        <v>16075.4</v>
      </c>
      <c r="N59" s="11"/>
      <c r="P59" t="s">
        <v>524</v>
      </c>
      <c r="Q59" s="419" t="s">
        <v>1634</v>
      </c>
    </row>
    <row r="60" spans="1:17" ht="15.75" customHeight="1" x14ac:dyDescent="0.3">
      <c r="A60" s="249" t="s">
        <v>1267</v>
      </c>
      <c r="B60" s="249" t="s">
        <v>1523</v>
      </c>
      <c r="C60" s="113" t="s">
        <v>1168</v>
      </c>
      <c r="E60" s="249"/>
      <c r="F60" s="249"/>
      <c r="G60" s="260" t="s">
        <v>278</v>
      </c>
      <c r="H60" s="260" t="s">
        <v>77</v>
      </c>
      <c r="I60" s="260" t="s">
        <v>1268</v>
      </c>
      <c r="J60" s="53">
        <v>15551.45</v>
      </c>
      <c r="K60" s="53"/>
      <c r="L60" s="53">
        <f>611.8+119+92</f>
        <v>822.8</v>
      </c>
      <c r="M60" s="11">
        <f t="shared" si="1"/>
        <v>16374.25</v>
      </c>
      <c r="N60" s="104">
        <f>+M60+500</f>
        <v>16874.25</v>
      </c>
      <c r="P60" t="s">
        <v>320</v>
      </c>
      <c r="Q60" s="421" t="s">
        <v>1636</v>
      </c>
    </row>
    <row r="61" spans="1:17" ht="15.75" customHeight="1" x14ac:dyDescent="0.3">
      <c r="A61" s="249" t="s">
        <v>1219</v>
      </c>
      <c r="B61" s="249" t="s">
        <v>1471</v>
      </c>
      <c r="C61" s="253" t="s">
        <v>1218</v>
      </c>
      <c r="E61" s="249"/>
      <c r="F61" s="249"/>
      <c r="G61" s="260">
        <v>1988</v>
      </c>
      <c r="H61" s="260" t="s">
        <v>314</v>
      </c>
      <c r="I61" s="260" t="s">
        <v>315</v>
      </c>
      <c r="J61" s="160">
        <v>19262.5</v>
      </c>
      <c r="K61" s="160"/>
      <c r="L61" s="53">
        <f>13009.8+242</f>
        <v>13251.8</v>
      </c>
      <c r="M61" s="11">
        <f t="shared" si="1"/>
        <v>32514.3</v>
      </c>
      <c r="N61" s="53">
        <v>22500</v>
      </c>
      <c r="P61" t="s">
        <v>320</v>
      </c>
    </row>
    <row r="62" spans="1:17" ht="15.75" customHeight="1" x14ac:dyDescent="0.3">
      <c r="A62" s="249" t="s">
        <v>1426</v>
      </c>
      <c r="B62" s="249" t="s">
        <v>1523</v>
      </c>
      <c r="C62" s="114" t="s">
        <v>1384</v>
      </c>
      <c r="D62" s="108" t="s">
        <v>1385</v>
      </c>
      <c r="E62" s="260" t="s">
        <v>21</v>
      </c>
      <c r="F62" s="260" t="s">
        <v>208</v>
      </c>
      <c r="G62" s="114">
        <v>2008</v>
      </c>
      <c r="H62" s="114" t="s">
        <v>21</v>
      </c>
      <c r="I62" s="114" t="s">
        <v>208</v>
      </c>
      <c r="J62" s="220">
        <v>7372.15</v>
      </c>
      <c r="L62" s="53">
        <v>287.5</v>
      </c>
      <c r="M62" s="11">
        <f>SUM(J62+K62+L62)</f>
        <v>7659.65</v>
      </c>
      <c r="N62" s="104">
        <f>+M62+500</f>
        <v>8159.65</v>
      </c>
      <c r="P62" s="173" t="s">
        <v>320</v>
      </c>
      <c r="Q62" s="419" t="s">
        <v>1634</v>
      </c>
    </row>
    <row r="63" spans="1:17" ht="15.75" customHeight="1" x14ac:dyDescent="0.3">
      <c r="A63" s="33" t="s">
        <v>297</v>
      </c>
      <c r="B63" s="33" t="s">
        <v>1528</v>
      </c>
      <c r="C63" s="36" t="s">
        <v>331</v>
      </c>
      <c r="D63" s="27">
        <v>106681</v>
      </c>
      <c r="E63" s="13">
        <v>43789</v>
      </c>
      <c r="F63" s="5" t="s">
        <v>329</v>
      </c>
      <c r="G63" s="190">
        <v>2012</v>
      </c>
      <c r="H63" s="125" t="s">
        <v>77</v>
      </c>
      <c r="I63" s="125" t="s">
        <v>138</v>
      </c>
      <c r="J63" s="11">
        <v>16610.849999999999</v>
      </c>
      <c r="K63" s="11"/>
      <c r="L63" s="11"/>
      <c r="M63" s="11">
        <f>SUM(J63+L63)</f>
        <v>16610.849999999999</v>
      </c>
      <c r="N63" s="11"/>
      <c r="O63" s="12" t="s">
        <v>19</v>
      </c>
      <c r="P63" s="12" t="s">
        <v>330</v>
      </c>
      <c r="Q63" s="173" t="s">
        <v>1633</v>
      </c>
    </row>
    <row r="64" spans="1:17" ht="15.75" customHeight="1" x14ac:dyDescent="0.3">
      <c r="A64" s="249" t="s">
        <v>1283</v>
      </c>
      <c r="B64" s="33" t="s">
        <v>1285</v>
      </c>
      <c r="C64" s="37" t="s">
        <v>1282</v>
      </c>
      <c r="E64" s="249"/>
      <c r="F64" s="249"/>
      <c r="G64" s="260" t="s">
        <v>283</v>
      </c>
      <c r="H64" s="260" t="s">
        <v>37</v>
      </c>
      <c r="I64" s="260" t="s">
        <v>1284</v>
      </c>
      <c r="J64" s="160">
        <v>11327.45</v>
      </c>
      <c r="K64" s="160"/>
      <c r="L64" s="53">
        <f>3171.09+661.88+925.61</f>
        <v>4758.58</v>
      </c>
      <c r="M64" s="11">
        <f>SUM(J64+L64)</f>
        <v>16086.03</v>
      </c>
      <c r="N64" s="11">
        <f>SUM(M64+500)</f>
        <v>16586.03</v>
      </c>
      <c r="O64" s="53"/>
      <c r="P64" s="12" t="s">
        <v>1591</v>
      </c>
    </row>
    <row r="65" spans="1:17" ht="15.75" customHeight="1" x14ac:dyDescent="0.3">
      <c r="A65" s="396" t="s">
        <v>297</v>
      </c>
      <c r="B65" s="248" t="s">
        <v>1523</v>
      </c>
      <c r="C65" s="147" t="s">
        <v>420</v>
      </c>
      <c r="D65" s="171">
        <v>94377</v>
      </c>
      <c r="E65" s="158">
        <v>44269</v>
      </c>
      <c r="F65" s="143" t="s">
        <v>421</v>
      </c>
      <c r="G65" s="314">
        <v>2007</v>
      </c>
      <c r="H65" s="315" t="s">
        <v>96</v>
      </c>
      <c r="I65" s="315" t="s">
        <v>422</v>
      </c>
      <c r="J65" s="141">
        <v>7760.05</v>
      </c>
      <c r="K65" s="141"/>
      <c r="L65" s="141"/>
      <c r="M65" s="141">
        <f>SUM(J65+L65)</f>
        <v>7760.05</v>
      </c>
      <c r="N65" s="141"/>
      <c r="O65" s="154"/>
      <c r="P65" s="152" t="s">
        <v>423</v>
      </c>
    </row>
    <row r="66" spans="1:17" ht="15.75" customHeight="1" x14ac:dyDescent="0.3">
      <c r="A66" s="33" t="s">
        <v>297</v>
      </c>
      <c r="B66" s="33" t="s">
        <v>1529</v>
      </c>
      <c r="C66" s="36" t="s">
        <v>318</v>
      </c>
      <c r="D66" s="27">
        <v>151982</v>
      </c>
      <c r="E66" s="13">
        <v>43781</v>
      </c>
      <c r="F66" s="406" t="s">
        <v>319</v>
      </c>
      <c r="G66" s="316">
        <v>2008</v>
      </c>
      <c r="H66" s="122" t="s">
        <v>96</v>
      </c>
      <c r="I66" s="122" t="s">
        <v>97</v>
      </c>
      <c r="J66" s="11">
        <v>6147.25</v>
      </c>
      <c r="K66" s="11"/>
      <c r="L66" s="11">
        <v>4074.67</v>
      </c>
      <c r="M66" s="11">
        <f>SUM(J66+L66)</f>
        <v>10221.92</v>
      </c>
      <c r="N66" s="11"/>
      <c r="O66" s="34">
        <v>6500</v>
      </c>
      <c r="P66" s="12" t="s">
        <v>1126</v>
      </c>
    </row>
    <row r="67" spans="1:17" ht="15.75" customHeight="1" x14ac:dyDescent="0.3">
      <c r="A67" s="249" t="s">
        <v>1372</v>
      </c>
      <c r="B67" s="249" t="s">
        <v>1530</v>
      </c>
      <c r="C67" s="113" t="s">
        <v>1371</v>
      </c>
      <c r="E67" s="249"/>
      <c r="F67" s="407"/>
      <c r="G67" s="273" t="s">
        <v>283</v>
      </c>
      <c r="H67" s="273" t="s">
        <v>450</v>
      </c>
      <c r="I67" s="273" t="s">
        <v>1373</v>
      </c>
      <c r="L67" s="53">
        <v>2718.33</v>
      </c>
      <c r="P67" s="12" t="s">
        <v>1447</v>
      </c>
    </row>
    <row r="68" spans="1:17" ht="15.75" customHeight="1" x14ac:dyDescent="0.3">
      <c r="A68" s="33" t="s">
        <v>297</v>
      </c>
      <c r="B68" s="33" t="s">
        <v>1523</v>
      </c>
      <c r="C68" s="147" t="s">
        <v>374</v>
      </c>
      <c r="D68" s="171">
        <v>74386</v>
      </c>
      <c r="E68" s="158">
        <v>43875</v>
      </c>
      <c r="F68" s="405" t="s">
        <v>375</v>
      </c>
      <c r="G68" s="303">
        <v>2006</v>
      </c>
      <c r="H68" s="149" t="s">
        <v>21</v>
      </c>
      <c r="I68" s="149" t="s">
        <v>376</v>
      </c>
      <c r="J68" s="141">
        <v>5923.5</v>
      </c>
      <c r="K68" s="141"/>
      <c r="L68" s="141"/>
      <c r="M68" s="141">
        <f>SUM(J68+L68)</f>
        <v>5923.5</v>
      </c>
      <c r="N68" s="141"/>
      <c r="O68" s="170">
        <v>8000</v>
      </c>
      <c r="P68" s="152" t="s">
        <v>377</v>
      </c>
    </row>
    <row r="69" spans="1:17" ht="15.75" customHeight="1" x14ac:dyDescent="0.3">
      <c r="A69" s="395" t="s">
        <v>1448</v>
      </c>
      <c r="B69" s="395" t="s">
        <v>1531</v>
      </c>
      <c r="C69" s="253" t="s">
        <v>316</v>
      </c>
      <c r="D69" s="166"/>
      <c r="E69" s="167">
        <v>43711</v>
      </c>
      <c r="F69" s="179" t="s">
        <v>313</v>
      </c>
      <c r="G69" s="306">
        <v>2009</v>
      </c>
      <c r="H69" s="307" t="s">
        <v>96</v>
      </c>
      <c r="I69" s="307" t="s">
        <v>317</v>
      </c>
      <c r="J69" s="168">
        <v>12953</v>
      </c>
      <c r="K69" s="168"/>
      <c r="L69" s="168">
        <v>134.55000000000001</v>
      </c>
      <c r="M69" s="168">
        <f>SUM(J69+L69)</f>
        <v>13087.55</v>
      </c>
      <c r="N69" s="168"/>
      <c r="O69" s="141"/>
      <c r="P69" s="169" t="s">
        <v>1225</v>
      </c>
    </row>
    <row r="70" spans="1:17" ht="15.75" customHeight="1" x14ac:dyDescent="0.3">
      <c r="A70" s="33" t="s">
        <v>297</v>
      </c>
      <c r="B70" s="33" t="s">
        <v>1533</v>
      </c>
      <c r="C70" s="165" t="s">
        <v>384</v>
      </c>
      <c r="D70" s="166">
        <v>35687</v>
      </c>
      <c r="E70" s="167">
        <v>44037</v>
      </c>
      <c r="F70" s="179" t="s">
        <v>170</v>
      </c>
      <c r="G70" s="306">
        <v>2009</v>
      </c>
      <c r="H70" s="307" t="s">
        <v>96</v>
      </c>
      <c r="I70" s="307" t="s">
        <v>241</v>
      </c>
      <c r="J70" s="168">
        <v>7288.55</v>
      </c>
      <c r="K70" s="168"/>
      <c r="L70" s="168">
        <v>3715.16</v>
      </c>
      <c r="M70" s="168">
        <f>SUM(J70+L70)</f>
        <v>11003.71</v>
      </c>
      <c r="N70" s="168"/>
      <c r="O70" s="152" t="s">
        <v>385</v>
      </c>
      <c r="P70" s="169" t="s">
        <v>386</v>
      </c>
    </row>
    <row r="71" spans="1:17" ht="15.75" customHeight="1" x14ac:dyDescent="0.3">
      <c r="A71" s="33" t="s">
        <v>297</v>
      </c>
      <c r="B71" s="33" t="s">
        <v>1533</v>
      </c>
      <c r="C71" s="172" t="s">
        <v>298</v>
      </c>
      <c r="D71" s="166">
        <v>105182</v>
      </c>
      <c r="E71" s="167">
        <v>43359</v>
      </c>
      <c r="F71" s="179" t="s">
        <v>299</v>
      </c>
      <c r="G71" s="306">
        <v>2012</v>
      </c>
      <c r="H71" s="307" t="s">
        <v>96</v>
      </c>
      <c r="I71" s="307" t="s">
        <v>300</v>
      </c>
      <c r="J71" s="168">
        <v>16445</v>
      </c>
      <c r="K71" s="168"/>
      <c r="L71" s="168"/>
      <c r="M71" s="168">
        <f>SUM(J71+L71)</f>
        <v>16445</v>
      </c>
      <c r="N71" s="168"/>
      <c r="O71" s="154"/>
      <c r="P71" s="169" t="s">
        <v>1405</v>
      </c>
    </row>
    <row r="72" spans="1:17" ht="15.75" customHeight="1" x14ac:dyDescent="0.3">
      <c r="A72" s="33" t="s">
        <v>297</v>
      </c>
      <c r="B72" s="33" t="s">
        <v>1533</v>
      </c>
      <c r="C72" s="172" t="s">
        <v>301</v>
      </c>
      <c r="D72" s="166">
        <v>71484</v>
      </c>
      <c r="E72" s="167" t="s">
        <v>302</v>
      </c>
      <c r="F72" s="142" t="s">
        <v>200</v>
      </c>
      <c r="G72" s="195">
        <v>2007</v>
      </c>
      <c r="H72" s="196" t="s">
        <v>303</v>
      </c>
      <c r="I72" s="196" t="s">
        <v>304</v>
      </c>
      <c r="J72" s="168">
        <v>15755</v>
      </c>
      <c r="K72" s="168">
        <f>390*1.15</f>
        <v>448.49999999999994</v>
      </c>
      <c r="L72" s="168">
        <f>7897.76+57.5-K72</f>
        <v>7506.76</v>
      </c>
      <c r="M72" s="168">
        <f>+J72+K72+L72</f>
        <v>23710.260000000002</v>
      </c>
      <c r="N72" s="168">
        <f>+M72+500</f>
        <v>24210.260000000002</v>
      </c>
      <c r="O72" s="154"/>
      <c r="P72" s="169" t="s">
        <v>1227</v>
      </c>
      <c r="Q72" t="s">
        <v>1388</v>
      </c>
    </row>
    <row r="73" spans="1:17" ht="15.75" customHeight="1" x14ac:dyDescent="0.3">
      <c r="A73" s="248" t="s">
        <v>297</v>
      </c>
      <c r="B73" s="248" t="s">
        <v>1533</v>
      </c>
      <c r="C73" s="165" t="s">
        <v>471</v>
      </c>
      <c r="D73" s="166">
        <v>77010</v>
      </c>
      <c r="E73" s="259">
        <v>44474</v>
      </c>
      <c r="F73" s="264" t="s">
        <v>75</v>
      </c>
      <c r="G73" s="306">
        <v>2012</v>
      </c>
      <c r="H73" s="307" t="s">
        <v>29</v>
      </c>
      <c r="I73" s="307" t="s">
        <v>189</v>
      </c>
      <c r="J73" s="168">
        <v>8669.7999999999993</v>
      </c>
      <c r="K73" s="168"/>
      <c r="L73" s="168">
        <v>57.5</v>
      </c>
      <c r="M73" s="168">
        <f t="shared" ref="M73:M102" si="2">SUM(J73+L73)</f>
        <v>8727.2999999999993</v>
      </c>
      <c r="N73" s="168"/>
      <c r="O73" s="154"/>
      <c r="P73" s="169" t="s">
        <v>472</v>
      </c>
    </row>
    <row r="74" spans="1:17" ht="15.75" customHeight="1" x14ac:dyDescent="0.3">
      <c r="A74" s="248" t="s">
        <v>297</v>
      </c>
      <c r="B74" s="248" t="s">
        <v>1533</v>
      </c>
      <c r="C74" s="250" t="s">
        <v>480</v>
      </c>
      <c r="D74" s="166">
        <v>58956</v>
      </c>
      <c r="E74" s="259">
        <v>44486</v>
      </c>
      <c r="F74" s="264" t="s">
        <v>481</v>
      </c>
      <c r="G74" s="306">
        <v>2012</v>
      </c>
      <c r="H74" s="307" t="s">
        <v>29</v>
      </c>
      <c r="I74" s="307" t="s">
        <v>189</v>
      </c>
      <c r="J74" s="180">
        <v>8380</v>
      </c>
      <c r="K74" s="180"/>
      <c r="L74" s="168">
        <v>1213.25</v>
      </c>
      <c r="M74" s="168">
        <f t="shared" si="2"/>
        <v>9593.25</v>
      </c>
      <c r="N74" s="168"/>
      <c r="O74" s="154"/>
      <c r="P74" s="169" t="s">
        <v>472</v>
      </c>
    </row>
    <row r="75" spans="1:17" ht="15.75" customHeight="1" x14ac:dyDescent="0.3">
      <c r="A75" t="s">
        <v>1426</v>
      </c>
      <c r="B75" s="248" t="s">
        <v>1546</v>
      </c>
      <c r="C75" s="182" t="s">
        <v>1451</v>
      </c>
      <c r="D75" s="108"/>
      <c r="E75" s="260"/>
      <c r="F75" s="108"/>
      <c r="G75" s="193" t="s">
        <v>278</v>
      </c>
      <c r="H75" s="193" t="s">
        <v>29</v>
      </c>
      <c r="I75" s="193" t="s">
        <v>1452</v>
      </c>
      <c r="J75" s="220"/>
      <c r="L75" s="53">
        <f>177.53*1.15</f>
        <v>204.15949999999998</v>
      </c>
      <c r="M75" s="11">
        <f t="shared" si="2"/>
        <v>204.15949999999998</v>
      </c>
      <c r="N75" s="11">
        <f>SUM(M75+500)</f>
        <v>704.15949999999998</v>
      </c>
      <c r="P75" s="154" t="s">
        <v>1231</v>
      </c>
      <c r="Q75" t="s">
        <v>1453</v>
      </c>
    </row>
    <row r="76" spans="1:17" ht="15.75" customHeight="1" x14ac:dyDescent="0.3">
      <c r="A76" s="248" t="s">
        <v>297</v>
      </c>
      <c r="B76" s="248" t="s">
        <v>1532</v>
      </c>
      <c r="C76" s="165" t="s">
        <v>404</v>
      </c>
      <c r="D76" s="166">
        <v>75594</v>
      </c>
      <c r="E76" s="167">
        <v>44213</v>
      </c>
      <c r="F76" s="264" t="s">
        <v>48</v>
      </c>
      <c r="G76" s="306">
        <v>2010</v>
      </c>
      <c r="H76" s="307" t="s">
        <v>16</v>
      </c>
      <c r="I76" s="307" t="s">
        <v>17</v>
      </c>
      <c r="J76" s="168">
        <v>8786</v>
      </c>
      <c r="K76" s="168"/>
      <c r="L76" s="168">
        <v>422.05</v>
      </c>
      <c r="M76" s="168">
        <f t="shared" si="2"/>
        <v>9208.0499999999993</v>
      </c>
      <c r="N76" s="168"/>
      <c r="O76" s="154"/>
      <c r="P76" s="169" t="s">
        <v>405</v>
      </c>
    </row>
    <row r="77" spans="1:17" ht="15.75" customHeight="1" x14ac:dyDescent="0.3">
      <c r="A77" s="248" t="s">
        <v>297</v>
      </c>
      <c r="B77" s="248" t="s">
        <v>1533</v>
      </c>
      <c r="C77" s="165" t="s">
        <v>444</v>
      </c>
      <c r="D77" s="166">
        <v>88120</v>
      </c>
      <c r="E77" s="259">
        <v>44382</v>
      </c>
      <c r="F77" s="264" t="s">
        <v>429</v>
      </c>
      <c r="G77" s="306">
        <v>2014</v>
      </c>
      <c r="H77" s="307" t="s">
        <v>49</v>
      </c>
      <c r="I77" s="307" t="s">
        <v>445</v>
      </c>
      <c r="J77" s="168">
        <v>6940</v>
      </c>
      <c r="K77" s="168"/>
      <c r="L77" s="168"/>
      <c r="M77" s="168">
        <f t="shared" si="2"/>
        <v>6940</v>
      </c>
      <c r="N77" s="168"/>
      <c r="O77" s="154"/>
      <c r="P77" s="169" t="s">
        <v>72</v>
      </c>
    </row>
    <row r="78" spans="1:17" ht="15.75" customHeight="1" x14ac:dyDescent="0.3">
      <c r="A78" s="248" t="s">
        <v>297</v>
      </c>
      <c r="B78" s="248" t="s">
        <v>1535</v>
      </c>
      <c r="C78" s="172" t="s">
        <v>328</v>
      </c>
      <c r="D78" s="166">
        <v>64421</v>
      </c>
      <c r="E78" s="259">
        <v>43789</v>
      </c>
      <c r="F78" s="264" t="s">
        <v>329</v>
      </c>
      <c r="G78" s="306">
        <v>2015</v>
      </c>
      <c r="H78" s="307" t="s">
        <v>96</v>
      </c>
      <c r="I78" s="307" t="s">
        <v>322</v>
      </c>
      <c r="J78" s="168">
        <v>17374.7</v>
      </c>
      <c r="K78" s="168"/>
      <c r="L78" s="168">
        <f>1444.81+834.84+293.25</f>
        <v>2572.9</v>
      </c>
      <c r="M78" s="168">
        <f t="shared" si="2"/>
        <v>19947.600000000002</v>
      </c>
      <c r="N78" s="168"/>
      <c r="O78" s="163">
        <v>15000</v>
      </c>
      <c r="P78" t="s">
        <v>323</v>
      </c>
    </row>
    <row r="79" spans="1:17" ht="15.75" customHeight="1" x14ac:dyDescent="0.3">
      <c r="A79" s="248" t="s">
        <v>297</v>
      </c>
      <c r="B79" s="248" t="s">
        <v>1523</v>
      </c>
      <c r="C79" s="165" t="s">
        <v>352</v>
      </c>
      <c r="D79" s="166">
        <v>52560</v>
      </c>
      <c r="E79" s="259">
        <v>43803</v>
      </c>
      <c r="F79" s="264" t="s">
        <v>344</v>
      </c>
      <c r="G79" s="306">
        <v>2008</v>
      </c>
      <c r="H79" s="307" t="s">
        <v>37</v>
      </c>
      <c r="I79" s="307" t="s">
        <v>353</v>
      </c>
      <c r="J79" s="168">
        <v>17166.3</v>
      </c>
      <c r="K79" s="168"/>
      <c r="L79" s="168">
        <v>1023.1</v>
      </c>
      <c r="M79" s="168">
        <f t="shared" si="2"/>
        <v>18189.399999999998</v>
      </c>
      <c r="N79" s="168"/>
      <c r="O79" s="170">
        <v>8000</v>
      </c>
      <c r="P79" s="169" t="s">
        <v>323</v>
      </c>
    </row>
    <row r="80" spans="1:17" ht="15.75" customHeight="1" x14ac:dyDescent="0.3">
      <c r="A80" s="248" t="s">
        <v>297</v>
      </c>
      <c r="B80" s="248" t="s">
        <v>1523</v>
      </c>
      <c r="C80" s="165" t="s">
        <v>354</v>
      </c>
      <c r="D80" s="166">
        <v>63850</v>
      </c>
      <c r="E80" s="259">
        <v>43803</v>
      </c>
      <c r="F80" s="264" t="s">
        <v>338</v>
      </c>
      <c r="G80" s="306">
        <v>2008</v>
      </c>
      <c r="H80" s="307" t="s">
        <v>37</v>
      </c>
      <c r="I80" s="307" t="s">
        <v>353</v>
      </c>
      <c r="J80" s="168">
        <v>13748.5</v>
      </c>
      <c r="K80" s="168"/>
      <c r="L80" s="168">
        <v>3351.14</v>
      </c>
      <c r="M80" s="168">
        <f t="shared" si="2"/>
        <v>17099.64</v>
      </c>
      <c r="N80" s="168"/>
      <c r="O80" s="152" t="s">
        <v>355</v>
      </c>
      <c r="P80" s="169" t="s">
        <v>323</v>
      </c>
    </row>
    <row r="81" spans="1:16" ht="15.75" customHeight="1" x14ac:dyDescent="0.3">
      <c r="A81" s="248" t="s">
        <v>297</v>
      </c>
      <c r="B81" s="248" t="s">
        <v>1523</v>
      </c>
      <c r="C81" s="165" t="s">
        <v>356</v>
      </c>
      <c r="D81" s="166">
        <v>46212</v>
      </c>
      <c r="E81" s="259">
        <v>43803</v>
      </c>
      <c r="F81" s="264" t="s">
        <v>338</v>
      </c>
      <c r="G81" s="306">
        <v>2007</v>
      </c>
      <c r="H81" s="307" t="s">
        <v>212</v>
      </c>
      <c r="I81" s="307" t="s">
        <v>247</v>
      </c>
      <c r="J81" s="168">
        <v>11123.05</v>
      </c>
      <c r="K81" s="168"/>
      <c r="L81" s="168">
        <v>2168.13</v>
      </c>
      <c r="M81" s="168">
        <f t="shared" si="2"/>
        <v>13291.18</v>
      </c>
      <c r="N81" s="168"/>
      <c r="O81" s="152" t="s">
        <v>357</v>
      </c>
      <c r="P81" s="169" t="s">
        <v>323</v>
      </c>
    </row>
    <row r="82" spans="1:16" ht="15.75" customHeight="1" x14ac:dyDescent="0.3">
      <c r="A82" s="248" t="s">
        <v>297</v>
      </c>
      <c r="B82" s="248" t="s">
        <v>1471</v>
      </c>
      <c r="C82" s="165" t="s">
        <v>396</v>
      </c>
      <c r="D82" s="402">
        <v>129022</v>
      </c>
      <c r="E82" s="259">
        <v>44201</v>
      </c>
      <c r="F82" s="264" t="s">
        <v>40</v>
      </c>
      <c r="G82" s="312">
        <v>2014</v>
      </c>
      <c r="H82" s="313" t="s">
        <v>21</v>
      </c>
      <c r="I82" s="313" t="s">
        <v>86</v>
      </c>
      <c r="J82" s="168">
        <v>14477.85</v>
      </c>
      <c r="K82" s="168"/>
      <c r="L82" s="168">
        <v>8307.7199999999993</v>
      </c>
      <c r="M82" s="168">
        <f t="shared" si="2"/>
        <v>22785.57</v>
      </c>
      <c r="N82" s="168"/>
      <c r="O82" s="152" t="s">
        <v>397</v>
      </c>
      <c r="P82" s="169" t="s">
        <v>323</v>
      </c>
    </row>
    <row r="83" spans="1:16" ht="15.75" customHeight="1" x14ac:dyDescent="0.3">
      <c r="A83" s="248" t="s">
        <v>297</v>
      </c>
      <c r="B83" s="248" t="s">
        <v>1471</v>
      </c>
      <c r="C83" s="165" t="s">
        <v>407</v>
      </c>
      <c r="D83" s="166">
        <v>62976</v>
      </c>
      <c r="E83" s="259">
        <v>44236</v>
      </c>
      <c r="F83" s="264" t="s">
        <v>59</v>
      </c>
      <c r="G83" s="306">
        <v>2015</v>
      </c>
      <c r="H83" s="307" t="s">
        <v>21</v>
      </c>
      <c r="I83" s="307" t="s">
        <v>408</v>
      </c>
      <c r="J83" s="168">
        <v>14177.7</v>
      </c>
      <c r="K83" s="168"/>
      <c r="L83" s="168">
        <v>434</v>
      </c>
      <c r="M83" s="168">
        <f t="shared" si="2"/>
        <v>14611.7</v>
      </c>
      <c r="N83" s="168"/>
      <c r="O83" s="152" t="s">
        <v>409</v>
      </c>
      <c r="P83" s="169" t="s">
        <v>323</v>
      </c>
    </row>
    <row r="84" spans="1:16" ht="15.75" customHeight="1" x14ac:dyDescent="0.3">
      <c r="A84" s="248" t="s">
        <v>297</v>
      </c>
      <c r="B84" s="248" t="s">
        <v>1536</v>
      </c>
      <c r="C84" s="165" t="s">
        <v>433</v>
      </c>
      <c r="D84" s="403">
        <v>96402</v>
      </c>
      <c r="E84" s="259">
        <v>44322</v>
      </c>
      <c r="F84" s="264" t="s">
        <v>429</v>
      </c>
      <c r="G84" s="195">
        <v>2008</v>
      </c>
      <c r="H84" s="196" t="s">
        <v>49</v>
      </c>
      <c r="I84" s="196" t="s">
        <v>52</v>
      </c>
      <c r="J84" s="168">
        <v>8555.4</v>
      </c>
      <c r="K84" s="168"/>
      <c r="L84" s="168">
        <v>3491.24</v>
      </c>
      <c r="M84" s="168">
        <f t="shared" si="2"/>
        <v>12046.64</v>
      </c>
      <c r="N84" s="168"/>
      <c r="O84" s="152" t="s">
        <v>385</v>
      </c>
      <c r="P84" s="169" t="s">
        <v>323</v>
      </c>
    </row>
    <row r="85" spans="1:16" ht="15.75" customHeight="1" x14ac:dyDescent="0.3">
      <c r="A85" s="248" t="s">
        <v>297</v>
      </c>
      <c r="B85" s="248" t="s">
        <v>1523</v>
      </c>
      <c r="C85" s="36" t="s">
        <v>307</v>
      </c>
      <c r="D85" s="257">
        <v>148015</v>
      </c>
      <c r="E85" s="258">
        <v>43518</v>
      </c>
      <c r="F85" s="263" t="s">
        <v>308</v>
      </c>
      <c r="G85" s="314">
        <v>2008</v>
      </c>
      <c r="H85" s="315" t="s">
        <v>162</v>
      </c>
      <c r="I85" s="315" t="s">
        <v>309</v>
      </c>
      <c r="J85" s="141">
        <v>6948.3</v>
      </c>
      <c r="K85" s="141"/>
      <c r="L85" s="141">
        <v>963.54</v>
      </c>
      <c r="M85" s="141">
        <f t="shared" si="2"/>
        <v>7911.84</v>
      </c>
      <c r="N85" s="141"/>
      <c r="O85" s="152" t="s">
        <v>310</v>
      </c>
      <c r="P85" s="152" t="s">
        <v>311</v>
      </c>
    </row>
    <row r="86" spans="1:16" ht="15.75" customHeight="1" x14ac:dyDescent="0.3">
      <c r="A86" s="248" t="s">
        <v>297</v>
      </c>
      <c r="B86" s="248" t="s">
        <v>1523</v>
      </c>
      <c r="C86" s="255" t="s">
        <v>363</v>
      </c>
      <c r="D86" s="257">
        <v>121113</v>
      </c>
      <c r="E86" s="258">
        <v>43803</v>
      </c>
      <c r="F86" s="263" t="s">
        <v>338</v>
      </c>
      <c r="G86" s="303">
        <v>2013</v>
      </c>
      <c r="H86" s="149" t="s">
        <v>16</v>
      </c>
      <c r="I86" s="149" t="s">
        <v>17</v>
      </c>
      <c r="J86" s="141">
        <v>12496.5</v>
      </c>
      <c r="K86" s="141"/>
      <c r="L86" s="141">
        <f>5067.52+550.2</f>
        <v>5617.72</v>
      </c>
      <c r="M86" s="141">
        <f t="shared" si="2"/>
        <v>18114.22</v>
      </c>
      <c r="N86" s="141"/>
      <c r="O86" s="154"/>
      <c r="P86" s="152" t="s">
        <v>364</v>
      </c>
    </row>
    <row r="87" spans="1:16" ht="15.75" customHeight="1" x14ac:dyDescent="0.3">
      <c r="A87" s="248" t="s">
        <v>297</v>
      </c>
      <c r="B87" s="248" t="s">
        <v>1537</v>
      </c>
      <c r="C87" s="147" t="s">
        <v>373</v>
      </c>
      <c r="D87" s="257">
        <v>114162</v>
      </c>
      <c r="E87" s="258">
        <v>43836</v>
      </c>
      <c r="F87" s="263" t="s">
        <v>167</v>
      </c>
      <c r="G87" s="308">
        <v>2007</v>
      </c>
      <c r="H87" s="139" t="s">
        <v>77</v>
      </c>
      <c r="I87" s="139" t="s">
        <v>107</v>
      </c>
      <c r="J87" s="141">
        <v>7532.5</v>
      </c>
      <c r="K87" s="141"/>
      <c r="L87" s="141">
        <v>4112.4799999999996</v>
      </c>
      <c r="M87" s="141">
        <f t="shared" si="2"/>
        <v>11644.98</v>
      </c>
      <c r="N87" s="141"/>
      <c r="O87" s="154"/>
      <c r="P87" s="152" t="s">
        <v>364</v>
      </c>
    </row>
    <row r="88" spans="1:16" ht="15.75" customHeight="1" x14ac:dyDescent="0.3">
      <c r="A88" s="248" t="s">
        <v>297</v>
      </c>
      <c r="B88" s="248" t="s">
        <v>1523</v>
      </c>
      <c r="C88" s="147" t="s">
        <v>387</v>
      </c>
      <c r="D88" s="256">
        <v>98320</v>
      </c>
      <c r="E88" s="258">
        <v>44124</v>
      </c>
      <c r="F88" s="263" t="s">
        <v>388</v>
      </c>
      <c r="G88" s="303">
        <v>2014</v>
      </c>
      <c r="H88" s="149" t="s">
        <v>29</v>
      </c>
      <c r="I88" s="149" t="s">
        <v>341</v>
      </c>
      <c r="J88" s="141">
        <v>12550.45</v>
      </c>
      <c r="K88" s="141"/>
      <c r="L88" s="141">
        <v>173.94</v>
      </c>
      <c r="M88" s="141">
        <f t="shared" si="2"/>
        <v>12724.390000000001</v>
      </c>
      <c r="N88" s="141"/>
      <c r="O88" s="154"/>
      <c r="P88" s="152" t="s">
        <v>364</v>
      </c>
    </row>
    <row r="89" spans="1:16" ht="15.75" customHeight="1" x14ac:dyDescent="0.3">
      <c r="A89" s="248" t="s">
        <v>297</v>
      </c>
      <c r="B89" s="248" t="s">
        <v>1523</v>
      </c>
      <c r="C89" s="147" t="s">
        <v>401</v>
      </c>
      <c r="D89" s="271">
        <v>97621</v>
      </c>
      <c r="E89" s="258">
        <v>44207</v>
      </c>
      <c r="F89" s="263" t="s">
        <v>40</v>
      </c>
      <c r="G89" s="303">
        <v>2006</v>
      </c>
      <c r="H89" s="149" t="s">
        <v>44</v>
      </c>
      <c r="I89" s="149" t="s">
        <v>402</v>
      </c>
      <c r="J89" s="141">
        <v>5749.3</v>
      </c>
      <c r="K89" s="141"/>
      <c r="L89" s="141">
        <v>961</v>
      </c>
      <c r="M89" s="141">
        <f t="shared" si="2"/>
        <v>6710.3</v>
      </c>
      <c r="N89" s="141"/>
      <c r="O89" s="154"/>
      <c r="P89" s="152" t="s">
        <v>364</v>
      </c>
    </row>
    <row r="90" spans="1:16" ht="15.75" customHeight="1" x14ac:dyDescent="0.3">
      <c r="A90" s="248" t="s">
        <v>297</v>
      </c>
      <c r="B90" s="248" t="s">
        <v>1523</v>
      </c>
      <c r="C90" s="147" t="s">
        <v>403</v>
      </c>
      <c r="D90" s="271">
        <v>62438</v>
      </c>
      <c r="E90" s="258">
        <v>44207</v>
      </c>
      <c r="F90" s="263" t="s">
        <v>36</v>
      </c>
      <c r="G90" s="303">
        <v>2007</v>
      </c>
      <c r="H90" s="149" t="s">
        <v>49</v>
      </c>
      <c r="I90" s="149" t="s">
        <v>119</v>
      </c>
      <c r="J90" s="141">
        <v>6349.6</v>
      </c>
      <c r="K90" s="141"/>
      <c r="L90" s="141">
        <v>395</v>
      </c>
      <c r="M90" s="141">
        <f t="shared" si="2"/>
        <v>6744.6</v>
      </c>
      <c r="N90" s="141"/>
      <c r="O90" s="154"/>
      <c r="P90" s="152" t="s">
        <v>364</v>
      </c>
    </row>
    <row r="91" spans="1:16" ht="15.75" customHeight="1" x14ac:dyDescent="0.3">
      <c r="A91" s="248" t="s">
        <v>297</v>
      </c>
      <c r="B91" s="248" t="s">
        <v>1538</v>
      </c>
      <c r="C91" s="147" t="s">
        <v>434</v>
      </c>
      <c r="D91" s="257">
        <v>123909</v>
      </c>
      <c r="E91" s="258">
        <v>44327</v>
      </c>
      <c r="F91" s="263" t="s">
        <v>429</v>
      </c>
      <c r="G91" s="303">
        <v>2007</v>
      </c>
      <c r="H91" s="149" t="s">
        <v>96</v>
      </c>
      <c r="I91" s="149" t="s">
        <v>97</v>
      </c>
      <c r="J91" s="141">
        <v>6648.25</v>
      </c>
      <c r="K91" s="141"/>
      <c r="L91" s="141">
        <v>780.8</v>
      </c>
      <c r="M91" s="141">
        <f t="shared" si="2"/>
        <v>7429.05</v>
      </c>
      <c r="N91" s="141"/>
      <c r="O91" s="154"/>
      <c r="P91" s="152" t="s">
        <v>364</v>
      </c>
    </row>
    <row r="92" spans="1:16" ht="15.75" customHeight="1" x14ac:dyDescent="0.3">
      <c r="A92" s="248" t="s">
        <v>297</v>
      </c>
      <c r="B92" s="248" t="s">
        <v>1539</v>
      </c>
      <c r="C92" s="147" t="s">
        <v>449</v>
      </c>
      <c r="D92" s="257">
        <v>58221</v>
      </c>
      <c r="E92" s="158">
        <v>44384</v>
      </c>
      <c r="F92" s="263" t="s">
        <v>429</v>
      </c>
      <c r="G92" s="303">
        <v>2014</v>
      </c>
      <c r="H92" s="149" t="s">
        <v>450</v>
      </c>
      <c r="I92" s="149" t="s">
        <v>451</v>
      </c>
      <c r="J92" s="141">
        <v>8480.5</v>
      </c>
      <c r="K92" s="141"/>
      <c r="L92" s="141">
        <v>2039.32</v>
      </c>
      <c r="M92" s="141">
        <f t="shared" si="2"/>
        <v>10519.82</v>
      </c>
      <c r="N92" s="141"/>
      <c r="O92" s="154"/>
      <c r="P92" s="152" t="s">
        <v>311</v>
      </c>
    </row>
    <row r="93" spans="1:16" ht="15.75" customHeight="1" x14ac:dyDescent="0.3">
      <c r="A93" s="248" t="s">
        <v>297</v>
      </c>
      <c r="B93" s="248" t="s">
        <v>1523</v>
      </c>
      <c r="C93" s="147" t="s">
        <v>469</v>
      </c>
      <c r="D93" s="257">
        <v>118868</v>
      </c>
      <c r="E93" s="258">
        <v>44460</v>
      </c>
      <c r="F93" s="263" t="s">
        <v>470</v>
      </c>
      <c r="G93" s="303">
        <v>2012</v>
      </c>
      <c r="H93" s="149" t="s">
        <v>21</v>
      </c>
      <c r="I93" s="149" t="s">
        <v>458</v>
      </c>
      <c r="J93" s="141">
        <v>9780.2000000000007</v>
      </c>
      <c r="K93" s="141"/>
      <c r="L93" s="141"/>
      <c r="M93" s="141">
        <f t="shared" si="2"/>
        <v>9780.2000000000007</v>
      </c>
      <c r="N93" s="141"/>
      <c r="O93" s="154"/>
      <c r="P93" s="152" t="s">
        <v>311</v>
      </c>
    </row>
    <row r="94" spans="1:16" ht="15.75" customHeight="1" x14ac:dyDescent="0.3">
      <c r="A94" s="248" t="s">
        <v>297</v>
      </c>
      <c r="B94" s="248" t="s">
        <v>1541</v>
      </c>
      <c r="C94" s="400" t="s">
        <v>473</v>
      </c>
      <c r="D94" s="271">
        <v>66871</v>
      </c>
      <c r="E94" s="258">
        <v>44479</v>
      </c>
      <c r="F94" s="263" t="s">
        <v>460</v>
      </c>
      <c r="G94" s="303">
        <v>2009</v>
      </c>
      <c r="H94" s="149" t="s">
        <v>77</v>
      </c>
      <c r="I94" s="149" t="s">
        <v>474</v>
      </c>
      <c r="J94" s="141">
        <v>11938.4</v>
      </c>
      <c r="K94" s="141"/>
      <c r="L94" s="141">
        <v>1478.44</v>
      </c>
      <c r="M94" s="141">
        <f t="shared" si="2"/>
        <v>13416.84</v>
      </c>
      <c r="N94" s="141"/>
      <c r="O94" s="154"/>
      <c r="P94" s="152" t="s">
        <v>311</v>
      </c>
    </row>
    <row r="95" spans="1:16" ht="15.75" customHeight="1" x14ac:dyDescent="0.3">
      <c r="A95" s="248" t="s">
        <v>297</v>
      </c>
      <c r="B95" s="248" t="s">
        <v>1542</v>
      </c>
      <c r="C95" s="400" t="s">
        <v>475</v>
      </c>
      <c r="D95" s="271">
        <v>55457</v>
      </c>
      <c r="E95" s="258">
        <v>44479</v>
      </c>
      <c r="F95" s="263" t="s">
        <v>460</v>
      </c>
      <c r="G95" s="303">
        <v>2008</v>
      </c>
      <c r="H95" s="149" t="s">
        <v>77</v>
      </c>
      <c r="I95" s="149" t="s">
        <v>476</v>
      </c>
      <c r="J95" s="141">
        <v>11856.75</v>
      </c>
      <c r="K95" s="141"/>
      <c r="L95" s="141">
        <v>2071.23</v>
      </c>
      <c r="M95" s="141">
        <f t="shared" si="2"/>
        <v>13927.98</v>
      </c>
      <c r="N95" s="141"/>
      <c r="O95" s="154"/>
      <c r="P95" s="152" t="s">
        <v>311</v>
      </c>
    </row>
    <row r="96" spans="1:16" ht="15.75" customHeight="1" x14ac:dyDescent="0.3">
      <c r="A96" s="248" t="s">
        <v>297</v>
      </c>
      <c r="B96" s="248" t="s">
        <v>1523</v>
      </c>
      <c r="C96" s="400" t="s">
        <v>478</v>
      </c>
      <c r="D96" s="271">
        <v>57242</v>
      </c>
      <c r="E96" s="258">
        <v>44479</v>
      </c>
      <c r="F96" s="263" t="s">
        <v>460</v>
      </c>
      <c r="G96" s="303">
        <v>2008</v>
      </c>
      <c r="H96" s="149" t="s">
        <v>21</v>
      </c>
      <c r="I96" s="149" t="s">
        <v>479</v>
      </c>
      <c r="J96" s="178">
        <v>8891.65</v>
      </c>
      <c r="K96" s="178"/>
      <c r="L96" s="141">
        <v>385.25</v>
      </c>
      <c r="M96" s="141">
        <f t="shared" si="2"/>
        <v>9276.9</v>
      </c>
      <c r="N96" s="141"/>
      <c r="O96" s="154"/>
      <c r="P96" s="152" t="s">
        <v>311</v>
      </c>
    </row>
    <row r="97" spans="1:18" ht="15.75" customHeight="1" x14ac:dyDescent="0.3">
      <c r="A97" s="248" t="s">
        <v>297</v>
      </c>
      <c r="B97" s="248" t="s">
        <v>1543</v>
      </c>
      <c r="C97" s="131" t="s">
        <v>482</v>
      </c>
      <c r="D97" s="136">
        <v>175234</v>
      </c>
      <c r="E97" s="134">
        <v>44491</v>
      </c>
      <c r="F97" s="130" t="s">
        <v>483</v>
      </c>
      <c r="G97" s="316">
        <v>2013</v>
      </c>
      <c r="H97" s="122" t="s">
        <v>16</v>
      </c>
      <c r="I97" s="122" t="s">
        <v>41</v>
      </c>
      <c r="J97" s="124">
        <v>7958.39</v>
      </c>
      <c r="K97" s="124"/>
      <c r="L97" s="11"/>
      <c r="M97" s="11">
        <f t="shared" si="2"/>
        <v>7958.39</v>
      </c>
      <c r="N97" s="11"/>
      <c r="P97" s="12" t="s">
        <v>364</v>
      </c>
    </row>
    <row r="98" spans="1:18" ht="15.75" customHeight="1" x14ac:dyDescent="0.3">
      <c r="A98" s="12" t="s">
        <v>1446</v>
      </c>
      <c r="B98" s="248" t="s">
        <v>1523</v>
      </c>
      <c r="C98" s="47" t="s">
        <v>507</v>
      </c>
      <c r="D98" s="136">
        <v>129740</v>
      </c>
      <c r="E98" s="43">
        <v>44629</v>
      </c>
      <c r="F98" s="12" t="s">
        <v>505</v>
      </c>
      <c r="G98" s="123" t="s">
        <v>508</v>
      </c>
      <c r="H98" s="123" t="s">
        <v>16</v>
      </c>
      <c r="I98" s="123" t="s">
        <v>160</v>
      </c>
      <c r="J98" s="11">
        <v>8746.4500000000007</v>
      </c>
      <c r="K98" s="11"/>
      <c r="M98" s="11">
        <f t="shared" si="2"/>
        <v>8746.4500000000007</v>
      </c>
      <c r="N98" s="11"/>
      <c r="P98" s="12" t="s">
        <v>311</v>
      </c>
    </row>
    <row r="99" spans="1:18" ht="15.75" customHeight="1" x14ac:dyDescent="0.3">
      <c r="A99" s="12" t="s">
        <v>1446</v>
      </c>
      <c r="B99" s="248" t="s">
        <v>1523</v>
      </c>
      <c r="C99" s="28" t="s">
        <v>509</v>
      </c>
      <c r="D99" s="136">
        <v>53125</v>
      </c>
      <c r="E99" s="272">
        <v>44629</v>
      </c>
      <c r="F99" s="12" t="s">
        <v>505</v>
      </c>
      <c r="G99" s="116">
        <v>2011</v>
      </c>
      <c r="H99" s="118" t="s">
        <v>16</v>
      </c>
      <c r="I99" s="118" t="s">
        <v>160</v>
      </c>
      <c r="J99" s="11">
        <v>14066.35</v>
      </c>
      <c r="K99" s="11"/>
      <c r="M99" s="11">
        <f t="shared" si="2"/>
        <v>14066.35</v>
      </c>
      <c r="N99" s="11"/>
      <c r="P99" s="12" t="s">
        <v>311</v>
      </c>
    </row>
    <row r="100" spans="1:18" ht="15.75" customHeight="1" x14ac:dyDescent="0.3">
      <c r="A100" s="12" t="s">
        <v>502</v>
      </c>
      <c r="B100" s="248" t="s">
        <v>1544</v>
      </c>
      <c r="C100" s="269" t="s">
        <v>510</v>
      </c>
      <c r="D100" s="136">
        <v>55570</v>
      </c>
      <c r="E100" s="43">
        <v>44629</v>
      </c>
      <c r="F100" s="12" t="s">
        <v>505</v>
      </c>
      <c r="G100" s="116">
        <v>2016</v>
      </c>
      <c r="H100" s="73" t="s">
        <v>49</v>
      </c>
      <c r="I100" s="73" t="s">
        <v>511</v>
      </c>
      <c r="J100" s="11">
        <v>14921.95</v>
      </c>
      <c r="K100" s="11"/>
      <c r="L100" s="49">
        <v>262</v>
      </c>
      <c r="M100" s="11">
        <f t="shared" si="2"/>
        <v>15183.95</v>
      </c>
      <c r="N100" s="11"/>
      <c r="P100" s="12" t="s">
        <v>364</v>
      </c>
    </row>
    <row r="101" spans="1:18" ht="15.75" customHeight="1" x14ac:dyDescent="0.3">
      <c r="A101" t="s">
        <v>1614</v>
      </c>
      <c r="B101" s="248" t="s">
        <v>1523</v>
      </c>
      <c r="C101" s="182" t="s">
        <v>516</v>
      </c>
      <c r="D101" s="136">
        <v>80384</v>
      </c>
      <c r="E101" s="43">
        <v>44662</v>
      </c>
      <c r="F101" s="12" t="s">
        <v>517</v>
      </c>
      <c r="G101" s="108" t="s">
        <v>518</v>
      </c>
      <c r="H101" s="108" t="s">
        <v>16</v>
      </c>
      <c r="I101" s="108" t="s">
        <v>393</v>
      </c>
      <c r="J101" s="11">
        <f>24756.75+301</f>
        <v>25057.75</v>
      </c>
      <c r="K101" s="11"/>
      <c r="L101" s="53">
        <f>443.51+246</f>
        <v>689.51</v>
      </c>
      <c r="M101" s="11">
        <f t="shared" si="2"/>
        <v>25747.26</v>
      </c>
      <c r="N101" s="104">
        <f>+M101+500</f>
        <v>26247.26</v>
      </c>
      <c r="P101" s="12" t="s">
        <v>364</v>
      </c>
    </row>
    <row r="102" spans="1:18" ht="15.75" customHeight="1" x14ac:dyDescent="0.3">
      <c r="A102" t="s">
        <v>297</v>
      </c>
      <c r="B102" s="248" t="s">
        <v>1523</v>
      </c>
      <c r="C102" s="150" t="s">
        <v>537</v>
      </c>
      <c r="D102" s="136">
        <v>64111</v>
      </c>
      <c r="E102" s="261" t="s">
        <v>290</v>
      </c>
      <c r="F102" s="52" t="s">
        <v>538</v>
      </c>
      <c r="G102" s="108">
        <v>2012</v>
      </c>
      <c r="H102" s="317" t="s">
        <v>539</v>
      </c>
      <c r="I102" s="317" t="s">
        <v>540</v>
      </c>
      <c r="J102" s="11">
        <v>9400.0499999999993</v>
      </c>
      <c r="K102" s="11"/>
      <c r="L102" s="53">
        <v>1447.69</v>
      </c>
      <c r="M102" s="11">
        <f t="shared" si="2"/>
        <v>10847.74</v>
      </c>
      <c r="N102" s="11"/>
      <c r="P102" t="s">
        <v>311</v>
      </c>
    </row>
    <row r="103" spans="1:18" ht="15.75" customHeight="1" x14ac:dyDescent="0.3">
      <c r="A103" t="s">
        <v>1287</v>
      </c>
      <c r="B103" s="248" t="s">
        <v>1523</v>
      </c>
      <c r="C103" s="37" t="s">
        <v>1272</v>
      </c>
      <c r="G103" s="108" t="s">
        <v>278</v>
      </c>
      <c r="H103" s="108" t="s">
        <v>29</v>
      </c>
      <c r="I103" s="108" t="s">
        <v>189</v>
      </c>
      <c r="J103" s="160">
        <v>11059.9</v>
      </c>
      <c r="K103" s="160"/>
      <c r="L103" s="34">
        <v>3612.05</v>
      </c>
      <c r="M103" s="11">
        <f>SUM(J103+K103+L103)</f>
        <v>14671.95</v>
      </c>
      <c r="N103" s="104">
        <f>+M103+500</f>
        <v>15171.95</v>
      </c>
      <c r="O103" s="53"/>
      <c r="P103" t="s">
        <v>364</v>
      </c>
      <c r="Q103" t="s">
        <v>1382</v>
      </c>
    </row>
    <row r="104" spans="1:18" ht="15.75" customHeight="1" x14ac:dyDescent="0.3">
      <c r="A104" t="s">
        <v>1287</v>
      </c>
      <c r="B104" s="248" t="s">
        <v>1523</v>
      </c>
      <c r="C104" s="37" t="s">
        <v>1286</v>
      </c>
      <c r="G104" s="260">
        <v>2011</v>
      </c>
      <c r="H104" s="273" t="s">
        <v>212</v>
      </c>
      <c r="I104" s="273" t="s">
        <v>284</v>
      </c>
      <c r="J104" s="219">
        <v>6180.45</v>
      </c>
      <c r="L104" s="53">
        <f>909.65+2495.28</f>
        <v>3404.9300000000003</v>
      </c>
      <c r="M104" s="11">
        <f>SUM(J104+K104+L104)</f>
        <v>9585.380000000001</v>
      </c>
      <c r="N104" s="104">
        <f>+M104+500</f>
        <v>10085.380000000001</v>
      </c>
      <c r="P104" t="s">
        <v>364</v>
      </c>
      <c r="Q104" t="s">
        <v>1382</v>
      </c>
    </row>
    <row r="105" spans="1:18" ht="15.75" customHeight="1" x14ac:dyDescent="0.3">
      <c r="A105" t="s">
        <v>1427</v>
      </c>
      <c r="B105" s="248" t="s">
        <v>1523</v>
      </c>
      <c r="C105" s="37" t="s">
        <v>1272</v>
      </c>
      <c r="D105" s="108"/>
      <c r="E105" s="108"/>
      <c r="F105" s="108"/>
      <c r="G105" s="193" t="s">
        <v>278</v>
      </c>
      <c r="H105" s="193" t="s">
        <v>29</v>
      </c>
      <c r="I105" s="193" t="s">
        <v>189</v>
      </c>
      <c r="J105" s="220">
        <v>11059.9</v>
      </c>
      <c r="L105" s="53">
        <v>414</v>
      </c>
      <c r="M105" s="11">
        <f>SUM(J105+K105+L105)</f>
        <v>11473.9</v>
      </c>
      <c r="N105" s="104">
        <f>+M105+500</f>
        <v>11973.9</v>
      </c>
      <c r="P105" s="154" t="s">
        <v>311</v>
      </c>
      <c r="Q105" t="s">
        <v>1428</v>
      </c>
    </row>
    <row r="106" spans="1:18" ht="15.75" customHeight="1" x14ac:dyDescent="0.3">
      <c r="A106" s="12" t="s">
        <v>1446</v>
      </c>
      <c r="B106" s="248" t="s">
        <v>1523</v>
      </c>
      <c r="C106" s="37" t="s">
        <v>512</v>
      </c>
      <c r="D106" s="27">
        <v>110160</v>
      </c>
      <c r="E106" s="43">
        <v>44629</v>
      </c>
      <c r="F106" s="12" t="s">
        <v>505</v>
      </c>
      <c r="G106" s="116">
        <v>2011</v>
      </c>
      <c r="H106" s="118" t="s">
        <v>16</v>
      </c>
      <c r="I106" s="118" t="s">
        <v>160</v>
      </c>
      <c r="J106" s="11">
        <v>10634.75</v>
      </c>
      <c r="K106" s="11"/>
      <c r="M106" s="11">
        <f>SUM(J106+L106)</f>
        <v>10634.75</v>
      </c>
      <c r="N106" s="11"/>
      <c r="O106" s="53">
        <v>11500</v>
      </c>
      <c r="P106" s="12" t="s">
        <v>311</v>
      </c>
    </row>
    <row r="107" spans="1:18" ht="15.75" customHeight="1" x14ac:dyDescent="0.3">
      <c r="A107" t="s">
        <v>1287</v>
      </c>
      <c r="B107" s="248" t="s">
        <v>1523</v>
      </c>
      <c r="C107" s="249" t="s">
        <v>1139</v>
      </c>
      <c r="G107" s="260"/>
      <c r="H107" s="260" t="s">
        <v>1146</v>
      </c>
      <c r="I107" s="260" t="s">
        <v>1147</v>
      </c>
      <c r="P107" s="12" t="s">
        <v>311</v>
      </c>
    </row>
    <row r="108" spans="1:18" ht="15.75" customHeight="1" x14ac:dyDescent="0.3">
      <c r="A108" t="s">
        <v>1287</v>
      </c>
      <c r="B108" s="248" t="s">
        <v>1523</v>
      </c>
      <c r="C108" s="252" t="s">
        <v>1138</v>
      </c>
      <c r="D108" s="390">
        <v>29100</v>
      </c>
      <c r="G108" s="182" t="s">
        <v>1612</v>
      </c>
      <c r="H108" s="108" t="s">
        <v>1144</v>
      </c>
      <c r="I108" s="108" t="s">
        <v>1145</v>
      </c>
      <c r="J108" s="53">
        <v>15510</v>
      </c>
      <c r="L108" s="53">
        <v>2771.5</v>
      </c>
      <c r="M108" s="11">
        <f>SUM(J108+K108+L108)</f>
        <v>18281.5</v>
      </c>
      <c r="N108" s="104">
        <f>+M108+500</f>
        <v>18781.5</v>
      </c>
      <c r="P108" s="12" t="s">
        <v>336</v>
      </c>
      <c r="Q108" t="s">
        <v>1640</v>
      </c>
    </row>
    <row r="109" spans="1:18" ht="15.75" customHeight="1" x14ac:dyDescent="0.3">
      <c r="A109" s="248" t="s">
        <v>297</v>
      </c>
      <c r="B109" s="248" t="s">
        <v>1533</v>
      </c>
      <c r="C109" s="6" t="s">
        <v>324</v>
      </c>
      <c r="D109" s="35">
        <v>71484</v>
      </c>
      <c r="E109" s="134">
        <v>43786</v>
      </c>
      <c r="F109" s="130" t="s">
        <v>325</v>
      </c>
      <c r="G109" s="316">
        <v>2007</v>
      </c>
      <c r="H109" s="122" t="s">
        <v>21</v>
      </c>
      <c r="I109" s="122" t="s">
        <v>326</v>
      </c>
      <c r="J109" s="11">
        <v>5644.4</v>
      </c>
      <c r="K109" s="11"/>
      <c r="L109" s="11">
        <v>1882.12</v>
      </c>
      <c r="M109" s="11">
        <f>SUM(J109+L109)</f>
        <v>7526.5199999999995</v>
      </c>
      <c r="N109" s="11"/>
      <c r="P109" s="12" t="s">
        <v>327</v>
      </c>
    </row>
    <row r="110" spans="1:18" ht="15.75" customHeight="1" x14ac:dyDescent="0.3">
      <c r="A110" s="248" t="s">
        <v>297</v>
      </c>
      <c r="B110" s="248" t="s">
        <v>1545</v>
      </c>
      <c r="C110" s="39" t="s">
        <v>491</v>
      </c>
      <c r="D110" s="27">
        <v>80645</v>
      </c>
      <c r="E110" s="262">
        <v>44587</v>
      </c>
      <c r="F110" s="121" t="s">
        <v>178</v>
      </c>
      <c r="G110" s="266">
        <v>2011</v>
      </c>
      <c r="H110" s="266" t="s">
        <v>21</v>
      </c>
      <c r="I110" s="266" t="s">
        <v>492</v>
      </c>
      <c r="J110" s="11">
        <v>9586.3700000000008</v>
      </c>
      <c r="K110" s="11"/>
      <c r="M110" s="11">
        <f>SUM(J110+L110)</f>
        <v>9586.3700000000008</v>
      </c>
      <c r="N110" s="11"/>
      <c r="P110" s="12" t="s">
        <v>493</v>
      </c>
    </row>
    <row r="111" spans="1:18" ht="15.75" customHeight="1" x14ac:dyDescent="0.3">
      <c r="A111" s="182" t="s">
        <v>1580</v>
      </c>
      <c r="B111" s="182"/>
      <c r="C111" s="371" t="s">
        <v>1579</v>
      </c>
      <c r="G111" s="114" t="s">
        <v>278</v>
      </c>
      <c r="H111" s="114" t="s">
        <v>208</v>
      </c>
      <c r="I111" s="114" t="s">
        <v>209</v>
      </c>
      <c r="J111" s="11"/>
      <c r="K111" s="53"/>
      <c r="L111" s="11"/>
      <c r="N111" s="11"/>
      <c r="O111" s="11"/>
      <c r="P111" s="12" t="s">
        <v>1227</v>
      </c>
      <c r="Q111" s="149"/>
      <c r="R111" s="12"/>
    </row>
    <row r="112" spans="1:18" ht="15.75" customHeight="1" x14ac:dyDescent="0.3">
      <c r="A112" t="s">
        <v>1651</v>
      </c>
      <c r="C112" s="37" t="s">
        <v>1647</v>
      </c>
      <c r="G112" t="s">
        <v>838</v>
      </c>
      <c r="H112" t="s">
        <v>33</v>
      </c>
      <c r="I112" t="s">
        <v>1648</v>
      </c>
      <c r="J112" t="s">
        <v>1299</v>
      </c>
      <c r="K112" s="53">
        <v>22523.5</v>
      </c>
      <c r="M112" s="53">
        <v>4737.3900000000003</v>
      </c>
      <c r="N112" s="223">
        <f>SUM(K112+L112+M112)</f>
        <v>27260.89</v>
      </c>
      <c r="O112" s="34"/>
      <c r="P112" s="34"/>
      <c r="Q112" t="s">
        <v>1649</v>
      </c>
    </row>
    <row r="113" spans="1:17" ht="15.75" customHeight="1" x14ac:dyDescent="0.3">
      <c r="C113" s="182"/>
      <c r="G113" s="108"/>
      <c r="H113" s="108"/>
      <c r="I113" s="108"/>
    </row>
    <row r="114" spans="1:17" ht="15.75" customHeight="1" x14ac:dyDescent="0.3">
      <c r="C114" s="182"/>
      <c r="G114" s="108"/>
      <c r="H114" s="108"/>
      <c r="I114" s="108"/>
    </row>
    <row r="115" spans="1:17" ht="15.75" customHeight="1" x14ac:dyDescent="0.35">
      <c r="A115" s="159" t="s">
        <v>1226</v>
      </c>
      <c r="B115" s="159"/>
      <c r="G115" s="108"/>
      <c r="H115" s="108"/>
      <c r="I115" s="108"/>
    </row>
    <row r="116" spans="1:17" ht="15.75" customHeight="1" x14ac:dyDescent="0.3">
      <c r="A116" s="33" t="s">
        <v>297</v>
      </c>
      <c r="B116" s="33"/>
      <c r="C116" s="242" t="s">
        <v>431</v>
      </c>
      <c r="D116" s="166">
        <v>71837</v>
      </c>
      <c r="E116" s="167">
        <v>44322</v>
      </c>
      <c r="F116" s="142" t="s">
        <v>429</v>
      </c>
      <c r="G116" s="195">
        <v>2012</v>
      </c>
      <c r="H116" s="196" t="s">
        <v>77</v>
      </c>
      <c r="I116" s="196" t="s">
        <v>432</v>
      </c>
      <c r="J116" s="168">
        <v>5829.1</v>
      </c>
      <c r="K116" s="168"/>
      <c r="L116" s="168">
        <v>2136.06</v>
      </c>
      <c r="M116" s="168">
        <f t="shared" ref="M116:M122" si="3">SUM(J116+L116)</f>
        <v>7965.16</v>
      </c>
      <c r="N116" s="168"/>
      <c r="O116" s="170">
        <v>7500</v>
      </c>
      <c r="P116" s="169" t="s">
        <v>323</v>
      </c>
      <c r="Q116" s="154" t="s">
        <v>1158</v>
      </c>
    </row>
    <row r="117" spans="1:17" ht="15.75" customHeight="1" x14ac:dyDescent="0.3">
      <c r="A117" s="33" t="s">
        <v>297</v>
      </c>
      <c r="B117" s="33"/>
      <c r="C117" s="242" t="s">
        <v>465</v>
      </c>
      <c r="D117" s="166">
        <v>96577</v>
      </c>
      <c r="E117" s="167">
        <v>44454</v>
      </c>
      <c r="F117" s="142" t="s">
        <v>69</v>
      </c>
      <c r="G117" s="195">
        <v>2012</v>
      </c>
      <c r="H117" s="196" t="s">
        <v>16</v>
      </c>
      <c r="I117" s="196" t="s">
        <v>393</v>
      </c>
      <c r="J117" s="168">
        <v>8165.65</v>
      </c>
      <c r="K117" s="168"/>
      <c r="L117" s="168">
        <v>2117.52</v>
      </c>
      <c r="M117" s="168">
        <f t="shared" si="3"/>
        <v>10283.17</v>
      </c>
      <c r="N117" s="168"/>
      <c r="O117" s="170">
        <v>11000</v>
      </c>
      <c r="P117" s="169" t="s">
        <v>18</v>
      </c>
      <c r="Q117" s="154" t="s">
        <v>1166</v>
      </c>
    </row>
    <row r="118" spans="1:17" ht="15.75" customHeight="1" x14ac:dyDescent="0.3">
      <c r="A118" s="33" t="s">
        <v>297</v>
      </c>
      <c r="B118" s="33"/>
      <c r="C118" s="242" t="s">
        <v>398</v>
      </c>
      <c r="D118" s="166">
        <v>84318</v>
      </c>
      <c r="E118" s="167">
        <v>44201</v>
      </c>
      <c r="F118" s="142" t="s">
        <v>36</v>
      </c>
      <c r="G118" s="195">
        <v>2012</v>
      </c>
      <c r="H118" s="196" t="s">
        <v>37</v>
      </c>
      <c r="I118" s="196" t="s">
        <v>399</v>
      </c>
      <c r="J118" s="168">
        <v>24978.5</v>
      </c>
      <c r="K118" s="168"/>
      <c r="L118" s="168">
        <v>1775.5</v>
      </c>
      <c r="M118" s="168">
        <f t="shared" si="3"/>
        <v>26754</v>
      </c>
      <c r="N118" s="168"/>
      <c r="O118" s="175">
        <v>18000</v>
      </c>
      <c r="P118" s="169" t="s">
        <v>400</v>
      </c>
      <c r="Q118" s="154" t="s">
        <v>1160</v>
      </c>
    </row>
    <row r="119" spans="1:17" ht="15.75" customHeight="1" x14ac:dyDescent="0.3">
      <c r="A119" s="33" t="s">
        <v>297</v>
      </c>
      <c r="B119" s="33"/>
      <c r="C119" s="242" t="s">
        <v>358</v>
      </c>
      <c r="D119" s="166">
        <v>85491</v>
      </c>
      <c r="E119" s="167">
        <v>43803</v>
      </c>
      <c r="F119" s="142" t="s">
        <v>344</v>
      </c>
      <c r="G119" s="195">
        <v>2008</v>
      </c>
      <c r="H119" s="196" t="s">
        <v>212</v>
      </c>
      <c r="I119" s="196" t="s">
        <v>359</v>
      </c>
      <c r="J119" s="168">
        <v>11746.35</v>
      </c>
      <c r="K119" s="168"/>
      <c r="L119" s="168">
        <v>3780.71</v>
      </c>
      <c r="M119" s="168">
        <f t="shared" si="3"/>
        <v>15527.060000000001</v>
      </c>
      <c r="N119" s="168"/>
      <c r="O119" s="170">
        <v>6500</v>
      </c>
      <c r="P119" s="169" t="s">
        <v>18</v>
      </c>
      <c r="Q119" s="154" t="s">
        <v>1158</v>
      </c>
    </row>
    <row r="120" spans="1:17" ht="15.75" customHeight="1" x14ac:dyDescent="0.3">
      <c r="A120" s="33" t="s">
        <v>297</v>
      </c>
      <c r="B120" s="33"/>
      <c r="C120" s="242" t="s">
        <v>391</v>
      </c>
      <c r="D120" s="166">
        <v>76346</v>
      </c>
      <c r="E120" s="167">
        <v>44141</v>
      </c>
      <c r="F120" s="142" t="s">
        <v>24</v>
      </c>
      <c r="G120" s="195">
        <v>2009</v>
      </c>
      <c r="H120" s="196" t="s">
        <v>212</v>
      </c>
      <c r="I120" s="196" t="s">
        <v>359</v>
      </c>
      <c r="J120" s="168">
        <v>5513</v>
      </c>
      <c r="K120" s="168"/>
      <c r="L120" s="168">
        <f>6004.2+189.65</f>
        <v>6193.8499999999995</v>
      </c>
      <c r="M120" s="168">
        <f t="shared" si="3"/>
        <v>11706.849999999999</v>
      </c>
      <c r="N120" s="168"/>
      <c r="O120" s="170">
        <v>8000</v>
      </c>
      <c r="P120" s="169" t="s">
        <v>18</v>
      </c>
      <c r="Q120" s="154" t="s">
        <v>1159</v>
      </c>
    </row>
    <row r="121" spans="1:17" ht="15.75" customHeight="1" x14ac:dyDescent="0.3">
      <c r="A121" s="33" t="s">
        <v>297</v>
      </c>
      <c r="B121" s="33"/>
      <c r="C121" s="242" t="s">
        <v>435</v>
      </c>
      <c r="D121" s="166">
        <v>63371</v>
      </c>
      <c r="E121" s="167">
        <v>44333</v>
      </c>
      <c r="F121" s="142" t="s">
        <v>436</v>
      </c>
      <c r="G121" s="195">
        <v>2012</v>
      </c>
      <c r="H121" s="196" t="s">
        <v>21</v>
      </c>
      <c r="I121" s="196" t="s">
        <v>84</v>
      </c>
      <c r="J121" s="168">
        <v>7854.5</v>
      </c>
      <c r="K121" s="168"/>
      <c r="L121" s="168">
        <v>9432.7800000000007</v>
      </c>
      <c r="M121" s="168">
        <f t="shared" si="3"/>
        <v>17287.28</v>
      </c>
      <c r="N121" s="168"/>
      <c r="O121" s="152" t="s">
        <v>437</v>
      </c>
      <c r="P121" s="169" t="s">
        <v>323</v>
      </c>
      <c r="Q121" s="154" t="s">
        <v>1163</v>
      </c>
    </row>
    <row r="122" spans="1:17" ht="15.75" customHeight="1" x14ac:dyDescent="0.3">
      <c r="A122" t="s">
        <v>297</v>
      </c>
      <c r="C122" s="236" t="s">
        <v>205</v>
      </c>
      <c r="D122" s="154"/>
      <c r="E122" s="154"/>
      <c r="F122" s="154"/>
      <c r="G122" s="194">
        <v>2013</v>
      </c>
      <c r="H122" s="194" t="s">
        <v>123</v>
      </c>
      <c r="I122" s="194" t="s">
        <v>206</v>
      </c>
      <c r="J122" s="168">
        <v>17311</v>
      </c>
      <c r="K122" s="154"/>
      <c r="L122" s="168">
        <v>1374.67</v>
      </c>
      <c r="M122" s="168">
        <f t="shared" si="3"/>
        <v>18685.669999999998</v>
      </c>
      <c r="N122" s="154"/>
      <c r="O122" s="154"/>
      <c r="P122" s="169" t="s">
        <v>1265</v>
      </c>
      <c r="Q122" s="154" t="s">
        <v>1266</v>
      </c>
    </row>
    <row r="123" spans="1:17" ht="15.75" customHeight="1" x14ac:dyDescent="0.3">
      <c r="A123" t="s">
        <v>1274</v>
      </c>
      <c r="C123" s="236" t="s">
        <v>1273</v>
      </c>
      <c r="D123" s="154"/>
      <c r="E123" s="154"/>
      <c r="F123" s="154"/>
      <c r="G123" s="194"/>
      <c r="H123" s="194"/>
      <c r="I123" s="194"/>
      <c r="J123" s="154"/>
      <c r="K123" s="154"/>
      <c r="L123" s="154"/>
      <c r="M123" s="154"/>
      <c r="N123" s="154"/>
      <c r="O123" s="154"/>
      <c r="P123" s="154"/>
      <c r="Q123" s="154" t="s">
        <v>1275</v>
      </c>
    </row>
    <row r="124" spans="1:17" ht="15.75" customHeight="1" x14ac:dyDescent="0.3">
      <c r="A124" s="33" t="s">
        <v>297</v>
      </c>
      <c r="B124" s="33"/>
      <c r="C124" s="242" t="s">
        <v>418</v>
      </c>
      <c r="D124" s="166">
        <v>109129</v>
      </c>
      <c r="E124" s="167">
        <v>44263</v>
      </c>
      <c r="F124" s="142" t="s">
        <v>416</v>
      </c>
      <c r="G124" s="195">
        <v>2011</v>
      </c>
      <c r="H124" s="196" t="s">
        <v>37</v>
      </c>
      <c r="I124" s="196" t="s">
        <v>419</v>
      </c>
      <c r="J124" s="168">
        <v>18323.45</v>
      </c>
      <c r="K124" s="168"/>
      <c r="L124" s="168">
        <v>5061.59</v>
      </c>
      <c r="M124" s="168">
        <f>SUM(J124+L124)</f>
        <v>23385.040000000001</v>
      </c>
      <c r="N124" s="168"/>
      <c r="O124" s="175">
        <v>16500</v>
      </c>
      <c r="P124" s="169" t="s">
        <v>400</v>
      </c>
      <c r="Q124" s="154" t="s">
        <v>1281</v>
      </c>
    </row>
    <row r="125" spans="1:17" ht="15.75" customHeight="1" x14ac:dyDescent="0.3">
      <c r="A125" s="33" t="s">
        <v>297</v>
      </c>
      <c r="B125" s="33"/>
      <c r="C125" s="242" t="s">
        <v>348</v>
      </c>
      <c r="D125" s="166">
        <v>41957</v>
      </c>
      <c r="E125" s="167">
        <v>43803</v>
      </c>
      <c r="F125" s="142" t="s">
        <v>344</v>
      </c>
      <c r="G125" s="195">
        <v>2008</v>
      </c>
      <c r="H125" s="196" t="s">
        <v>21</v>
      </c>
      <c r="I125" s="196" t="s">
        <v>349</v>
      </c>
      <c r="J125" s="168">
        <v>11694.6</v>
      </c>
      <c r="K125" s="168"/>
      <c r="L125" s="168">
        <v>2271.25</v>
      </c>
      <c r="M125" s="168">
        <f>SUM(J125+L125)</f>
        <v>13965.85</v>
      </c>
      <c r="N125" s="168"/>
      <c r="O125" s="170">
        <v>8500</v>
      </c>
      <c r="P125" s="169" t="s">
        <v>330</v>
      </c>
      <c r="Q125" s="154" t="s">
        <v>1380</v>
      </c>
    </row>
    <row r="126" spans="1:17" ht="15.75" customHeight="1" x14ac:dyDescent="0.3">
      <c r="A126" s="12" t="s">
        <v>297</v>
      </c>
      <c r="B126" s="12"/>
      <c r="C126" s="243" t="s">
        <v>527</v>
      </c>
      <c r="D126" s="27">
        <v>104825</v>
      </c>
      <c r="E126" s="45">
        <v>44668</v>
      </c>
      <c r="F126" s="12" t="s">
        <v>528</v>
      </c>
      <c r="G126" s="115" t="s">
        <v>508</v>
      </c>
      <c r="H126" s="115" t="s">
        <v>16</v>
      </c>
      <c r="I126" s="115" t="s">
        <v>234</v>
      </c>
      <c r="J126" s="11">
        <v>9667.65</v>
      </c>
      <c r="K126" s="11"/>
      <c r="L126" s="12">
        <v>546.25</v>
      </c>
      <c r="M126" s="11">
        <f>SUM(J126+L126)</f>
        <v>10213.9</v>
      </c>
      <c r="N126" s="11"/>
      <c r="P126" s="12" t="s">
        <v>573</v>
      </c>
      <c r="Q126" s="154" t="s">
        <v>1381</v>
      </c>
    </row>
    <row r="127" spans="1:17" ht="15.75" customHeight="1" x14ac:dyDescent="0.3">
      <c r="A127" t="s">
        <v>297</v>
      </c>
      <c r="C127" s="244" t="s">
        <v>525</v>
      </c>
      <c r="D127" s="50">
        <v>66871</v>
      </c>
      <c r="E127" s="43">
        <v>44662</v>
      </c>
      <c r="F127" s="12" t="s">
        <v>517</v>
      </c>
      <c r="G127" s="117">
        <v>2012</v>
      </c>
      <c r="H127" s="117" t="s">
        <v>143</v>
      </c>
      <c r="I127" s="117" t="s">
        <v>195</v>
      </c>
      <c r="J127" s="11">
        <v>5185</v>
      </c>
      <c r="K127" s="11">
        <f>330*1.15</f>
        <v>379.49999999999994</v>
      </c>
      <c r="L127" s="53">
        <f>331+465.75+779-K127</f>
        <v>1196.25</v>
      </c>
      <c r="M127" s="11">
        <f>SUM(J127+K127+L127)</f>
        <v>6760.75</v>
      </c>
      <c r="N127" s="104">
        <f>+M127+500</f>
        <v>7260.75</v>
      </c>
      <c r="O127" s="53">
        <v>5900</v>
      </c>
      <c r="P127" t="s">
        <v>311</v>
      </c>
    </row>
    <row r="128" spans="1:17" ht="15.75" customHeight="1" x14ac:dyDescent="0.3">
      <c r="A128" s="33" t="s">
        <v>297</v>
      </c>
      <c r="B128" s="33"/>
      <c r="C128" s="242" t="s">
        <v>360</v>
      </c>
      <c r="D128" s="166">
        <v>61479</v>
      </c>
      <c r="E128" s="167">
        <v>43803</v>
      </c>
      <c r="F128" s="142" t="s">
        <v>344</v>
      </c>
      <c r="G128" s="195">
        <v>2009</v>
      </c>
      <c r="H128" s="196" t="s">
        <v>212</v>
      </c>
      <c r="I128" s="196" t="s">
        <v>359</v>
      </c>
      <c r="J128" s="168">
        <v>9531.4500000000007</v>
      </c>
      <c r="K128" s="168"/>
      <c r="L128" s="168">
        <v>1561.75</v>
      </c>
      <c r="M128" s="168">
        <f t="shared" ref="M128:M133" si="4">SUM(J128+L128)</f>
        <v>11093.2</v>
      </c>
      <c r="N128" s="168"/>
      <c r="O128" s="170">
        <v>8000</v>
      </c>
      <c r="P128" s="169" t="s">
        <v>323</v>
      </c>
    </row>
    <row r="129" spans="1:17" ht="15.75" customHeight="1" x14ac:dyDescent="0.3">
      <c r="A129" s="33" t="s">
        <v>297</v>
      </c>
      <c r="B129" s="33"/>
      <c r="C129" s="242" t="s">
        <v>415</v>
      </c>
      <c r="D129" s="166">
        <v>79259</v>
      </c>
      <c r="E129" s="167">
        <v>44263</v>
      </c>
      <c r="F129" s="142" t="s">
        <v>416</v>
      </c>
      <c r="G129" s="195">
        <v>2015</v>
      </c>
      <c r="H129" s="196" t="s">
        <v>37</v>
      </c>
      <c r="I129" s="196" t="s">
        <v>417</v>
      </c>
      <c r="J129" s="168">
        <v>22277.15</v>
      </c>
      <c r="K129" s="168"/>
      <c r="L129" s="168">
        <v>0</v>
      </c>
      <c r="M129" s="168">
        <f t="shared" si="4"/>
        <v>22277.15</v>
      </c>
      <c r="N129" s="168"/>
      <c r="O129" s="170">
        <v>18000</v>
      </c>
      <c r="P129" s="169" t="s">
        <v>400</v>
      </c>
    </row>
    <row r="130" spans="1:17" ht="15.75" customHeight="1" x14ac:dyDescent="0.3">
      <c r="A130" s="33" t="s">
        <v>297</v>
      </c>
      <c r="B130" s="33"/>
      <c r="C130" s="165" t="s">
        <v>361</v>
      </c>
      <c r="D130" s="166">
        <v>88424</v>
      </c>
      <c r="E130" s="167">
        <v>43803</v>
      </c>
      <c r="F130" s="142" t="s">
        <v>338</v>
      </c>
      <c r="G130" s="195">
        <v>2008</v>
      </c>
      <c r="H130" s="196" t="s">
        <v>212</v>
      </c>
      <c r="I130" s="196" t="s">
        <v>362</v>
      </c>
      <c r="J130" s="168">
        <v>7715.6</v>
      </c>
      <c r="K130" s="168"/>
      <c r="L130" s="168">
        <v>4966.28</v>
      </c>
      <c r="M130" s="168">
        <f t="shared" si="4"/>
        <v>12681.880000000001</v>
      </c>
      <c r="N130" s="168"/>
      <c r="O130" s="170">
        <v>7000</v>
      </c>
      <c r="P130" s="169" t="s">
        <v>323</v>
      </c>
      <c r="Q130" t="s">
        <v>1445</v>
      </c>
    </row>
    <row r="131" spans="1:17" ht="15.75" customHeight="1" x14ac:dyDescent="0.3">
      <c r="A131" s="248" t="s">
        <v>297</v>
      </c>
      <c r="B131" s="248"/>
      <c r="C131" s="233" t="s">
        <v>392</v>
      </c>
      <c r="D131" s="257">
        <v>41992</v>
      </c>
      <c r="E131" s="258">
        <v>44146</v>
      </c>
      <c r="F131" s="263" t="s">
        <v>24</v>
      </c>
      <c r="G131" s="303">
        <v>2013</v>
      </c>
      <c r="H131" s="149" t="s">
        <v>16</v>
      </c>
      <c r="I131" s="149" t="s">
        <v>393</v>
      </c>
      <c r="J131" s="141">
        <v>19204</v>
      </c>
      <c r="K131" s="141"/>
      <c r="L131" s="141">
        <f>2073.22+60</f>
        <v>2133.2199999999998</v>
      </c>
      <c r="M131" s="141">
        <f t="shared" si="4"/>
        <v>21337.22</v>
      </c>
      <c r="N131" s="141">
        <f>+M131+500</f>
        <v>21837.22</v>
      </c>
      <c r="O131" s="154"/>
      <c r="P131" s="152" t="s">
        <v>364</v>
      </c>
      <c r="Q131" t="s">
        <v>1457</v>
      </c>
    </row>
    <row r="132" spans="1:17" ht="15.75" customHeight="1" x14ac:dyDescent="0.3">
      <c r="A132" s="33" t="s">
        <v>1554</v>
      </c>
      <c r="B132" s="22" t="s">
        <v>1471</v>
      </c>
      <c r="C132" s="240" t="s">
        <v>513</v>
      </c>
      <c r="D132" s="136">
        <v>143450</v>
      </c>
      <c r="E132" s="38">
        <v>44638</v>
      </c>
      <c r="F132" s="22" t="s">
        <v>514</v>
      </c>
      <c r="G132" s="266">
        <v>2011</v>
      </c>
      <c r="H132" s="266" t="s">
        <v>96</v>
      </c>
      <c r="I132" s="266" t="s">
        <v>97</v>
      </c>
      <c r="J132" s="11">
        <v>6948</v>
      </c>
      <c r="K132" s="11"/>
      <c r="M132" s="11">
        <f t="shared" si="4"/>
        <v>6948</v>
      </c>
      <c r="N132" s="11"/>
      <c r="P132" s="12" t="s">
        <v>26</v>
      </c>
      <c r="Q132" t="s">
        <v>1604</v>
      </c>
    </row>
    <row r="133" spans="1:17" ht="15.75" customHeight="1" x14ac:dyDescent="0.3">
      <c r="A133" s="33" t="s">
        <v>1554</v>
      </c>
      <c r="B133" s="33" t="s">
        <v>1471</v>
      </c>
      <c r="C133" s="242" t="s">
        <v>462</v>
      </c>
      <c r="D133" s="166">
        <v>59642</v>
      </c>
      <c r="E133" s="167">
        <v>44442</v>
      </c>
      <c r="F133" s="142" t="s">
        <v>463</v>
      </c>
      <c r="G133" s="195">
        <v>2010</v>
      </c>
      <c r="H133" s="196" t="s">
        <v>212</v>
      </c>
      <c r="I133" s="196" t="s">
        <v>247</v>
      </c>
      <c r="J133" s="168">
        <v>6108.3</v>
      </c>
      <c r="K133" s="168"/>
      <c r="L133" s="168">
        <v>1783.05</v>
      </c>
      <c r="M133" s="168">
        <f t="shared" si="4"/>
        <v>7891.35</v>
      </c>
      <c r="N133" s="168"/>
      <c r="O133" s="154"/>
      <c r="P133" s="169" t="s">
        <v>330</v>
      </c>
    </row>
    <row r="134" spans="1:17" ht="15.75" customHeight="1" x14ac:dyDescent="0.3">
      <c r="A134" s="33" t="s">
        <v>297</v>
      </c>
      <c r="B134" s="33" t="s">
        <v>1471</v>
      </c>
      <c r="C134" s="165" t="s">
        <v>321</v>
      </c>
      <c r="D134" s="166">
        <v>25329</v>
      </c>
      <c r="E134" s="167">
        <v>43781</v>
      </c>
      <c r="F134" s="142" t="s">
        <v>319</v>
      </c>
      <c r="G134" s="312">
        <v>2015</v>
      </c>
      <c r="H134" s="313" t="s">
        <v>96</v>
      </c>
      <c r="I134" s="313" t="s">
        <v>322</v>
      </c>
      <c r="J134" s="168">
        <v>17972.7</v>
      </c>
      <c r="K134" s="168"/>
      <c r="L134" s="168">
        <v>2251.62</v>
      </c>
      <c r="M134" s="168">
        <f>SUM(J134+L134)</f>
        <v>20224.32</v>
      </c>
      <c r="N134" s="168"/>
      <c r="O134" s="170">
        <v>19000</v>
      </c>
      <c r="P134" s="169" t="s">
        <v>323</v>
      </c>
      <c r="Q134" t="s">
        <v>1572</v>
      </c>
    </row>
    <row r="135" spans="1:17" ht="15.75" customHeight="1" x14ac:dyDescent="0.3">
      <c r="A135" s="248" t="s">
        <v>297</v>
      </c>
      <c r="B135" s="248" t="s">
        <v>1471</v>
      </c>
      <c r="C135" s="165" t="s">
        <v>332</v>
      </c>
      <c r="D135" s="166">
        <v>18916</v>
      </c>
      <c r="E135" s="259">
        <v>43789</v>
      </c>
      <c r="F135" s="264" t="s">
        <v>329</v>
      </c>
      <c r="G135" s="306">
        <v>2014</v>
      </c>
      <c r="H135" s="307" t="s">
        <v>96</v>
      </c>
      <c r="I135" s="307" t="s">
        <v>322</v>
      </c>
      <c r="J135" s="168">
        <v>18178.55</v>
      </c>
      <c r="K135" s="168"/>
      <c r="L135" s="168">
        <v>3083.65</v>
      </c>
      <c r="M135" s="168">
        <f>SUM(J135+L135)</f>
        <v>21262.2</v>
      </c>
      <c r="N135" s="168"/>
      <c r="O135" s="170">
        <v>18000</v>
      </c>
      <c r="P135" s="169" t="s">
        <v>18</v>
      </c>
      <c r="Q135" t="s">
        <v>1573</v>
      </c>
    </row>
    <row r="136" spans="1:17" ht="15.75" customHeight="1" x14ac:dyDescent="0.3">
      <c r="A136" s="33" t="s">
        <v>297</v>
      </c>
      <c r="B136" s="248" t="s">
        <v>1534</v>
      </c>
      <c r="C136" s="380" t="s">
        <v>456</v>
      </c>
      <c r="D136" s="166">
        <v>86617</v>
      </c>
      <c r="E136" s="167">
        <v>44425</v>
      </c>
      <c r="F136" s="179" t="s">
        <v>457</v>
      </c>
      <c r="G136" s="306">
        <v>2011</v>
      </c>
      <c r="H136" s="307" t="s">
        <v>21</v>
      </c>
      <c r="I136" s="307" t="s">
        <v>458</v>
      </c>
      <c r="J136" s="168">
        <v>12429.85</v>
      </c>
      <c r="K136" s="168">
        <f>270*1.15</f>
        <v>310.5</v>
      </c>
      <c r="L136" s="168">
        <f>2260.49+1186.8-K136</f>
        <v>3136.79</v>
      </c>
      <c r="M136" s="168">
        <f>SUM(J136+K136+L136)</f>
        <v>15877.14</v>
      </c>
      <c r="N136" s="104">
        <f>+M136+500</f>
        <v>16377.14</v>
      </c>
      <c r="O136" s="170">
        <v>12000</v>
      </c>
      <c r="P136" s="169" t="s">
        <v>94</v>
      </c>
      <c r="Q136" t="s">
        <v>1600</v>
      </c>
    </row>
    <row r="137" spans="1:17" ht="15.75" customHeight="1" x14ac:dyDescent="0.3">
      <c r="A137" s="249" t="s">
        <v>1287</v>
      </c>
      <c r="B137" s="249" t="s">
        <v>1523</v>
      </c>
      <c r="C137" s="391" t="s">
        <v>1137</v>
      </c>
      <c r="E137" s="249"/>
      <c r="F137" s="249"/>
      <c r="G137" s="260"/>
      <c r="H137" s="260" t="s">
        <v>1142</v>
      </c>
      <c r="I137" s="260" t="s">
        <v>1143</v>
      </c>
      <c r="J137" s="103">
        <v>11938.1</v>
      </c>
      <c r="K137" s="103"/>
      <c r="L137" s="53">
        <v>1512.15</v>
      </c>
      <c r="M137" s="11">
        <f>SUM(J137+L137)</f>
        <v>13450.25</v>
      </c>
      <c r="N137" s="11"/>
      <c r="O137" s="104">
        <f>+M137+500</f>
        <v>13950.25</v>
      </c>
      <c r="P137" s="12" t="s">
        <v>336</v>
      </c>
    </row>
    <row r="138" spans="1:17" ht="15.75" customHeight="1" x14ac:dyDescent="0.3">
      <c r="A138" s="248" t="s">
        <v>297</v>
      </c>
      <c r="B138" s="248" t="s">
        <v>1540</v>
      </c>
      <c r="C138" s="233" t="s">
        <v>464</v>
      </c>
      <c r="D138" s="271">
        <v>112946</v>
      </c>
      <c r="E138" s="258">
        <v>44448</v>
      </c>
      <c r="F138" s="263" t="s">
        <v>319</v>
      </c>
      <c r="G138" s="303">
        <v>2008</v>
      </c>
      <c r="H138" s="149" t="s">
        <v>123</v>
      </c>
      <c r="I138" s="149" t="s">
        <v>124</v>
      </c>
      <c r="J138" s="141">
        <v>4320.05</v>
      </c>
      <c r="K138" s="141"/>
      <c r="L138" s="141">
        <f>1998.85+17.25+267.36</f>
        <v>2283.46</v>
      </c>
      <c r="M138" s="141">
        <f>SUM(J138+L138)</f>
        <v>6603.51</v>
      </c>
      <c r="N138" s="141">
        <f>+M138+500</f>
        <v>7103.51</v>
      </c>
      <c r="O138" s="300">
        <v>5850</v>
      </c>
      <c r="P138" s="152" t="s">
        <v>1135</v>
      </c>
    </row>
    <row r="139" spans="1:17" ht="15.75" customHeight="1" x14ac:dyDescent="0.3">
      <c r="B139" s="341"/>
    </row>
    <row r="140" spans="1:17" ht="15.75" customHeight="1" x14ac:dyDescent="0.3"/>
    <row r="141" spans="1:17" ht="15.75" customHeight="1" x14ac:dyDescent="0.3"/>
    <row r="142" spans="1:17" ht="15.75" customHeight="1" x14ac:dyDescent="0.3"/>
    <row r="143" spans="1:17" ht="15.75" customHeight="1" x14ac:dyDescent="0.3"/>
    <row r="144" spans="1:17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</sheetData>
  <autoFilter ref="A1:Q110" xr:uid="{79E7432D-EA66-40BC-82EB-577D48F0D29E}">
    <sortState xmlns:xlrd2="http://schemas.microsoft.com/office/spreadsheetml/2017/richdata2" ref="A2:Q110">
      <sortCondition ref="P1:P110"/>
    </sortState>
  </autoFilter>
  <hyperlinks>
    <hyperlink ref="C5" r:id="rId1" xr:uid="{5631E3F9-270B-4F9C-94DF-3787357C4907}"/>
    <hyperlink ref="C6" r:id="rId2" xr:uid="{DA77E89A-9B90-41E7-93F2-BBB0157572FA}"/>
    <hyperlink ref="C71" r:id="rId3" xr:uid="{B009F68D-1647-4670-AAFC-B6A734E08CD4}"/>
    <hyperlink ref="C8" r:id="rId4" xr:uid="{9270326E-B2A2-48A3-B846-7D27077E908D}"/>
    <hyperlink ref="C12" r:id="rId5" xr:uid="{5C62C82D-A9BF-4DB1-B1DD-9BAA401E5CA3}"/>
    <hyperlink ref="C18" r:id="rId6" xr:uid="{F65DC3CC-DEB4-40F4-B009-A1397809EF5C}"/>
    <hyperlink ref="C19" r:id="rId7" xr:uid="{0EA311FE-77AC-4216-A957-FAD1AA735AB6}"/>
    <hyperlink ref="C9" r:id="rId8" xr:uid="{AF850ED4-B030-47E2-926D-413CE17D2504}"/>
    <hyperlink ref="C10" r:id="rId9" xr:uid="{9F2A1137-8090-4556-83F8-7A341DF45553}"/>
    <hyperlink ref="C11" r:id="rId10" xr:uid="{357EAB79-821C-4FEE-BEB6-E207C1FA2A35}"/>
    <hyperlink ref="C48" r:id="rId11" xr:uid="{38F0BABC-0D68-45D4-ACE6-42A568A71EFF}"/>
    <hyperlink ref="C21" r:id="rId12" xr:uid="{7DA93F25-1F23-4C92-851C-9EA696B5E2F8}"/>
    <hyperlink ref="C22" r:id="rId13" xr:uid="{BE739697-248B-4499-8020-88C41E6D97B8}"/>
    <hyperlink ref="C23" r:id="rId14" xr:uid="{9437F010-94A4-4DCF-A35E-0396BEF5725B}"/>
    <hyperlink ref="C49" r:id="rId15" xr:uid="{EFE3CAE4-DD2A-40F4-AFCC-752419042A97}"/>
    <hyperlink ref="C24" r:id="rId16" xr:uid="{DCEEAC22-1CBA-4CD9-8FE7-11A9844F6536}"/>
    <hyperlink ref="C27" r:id="rId17" xr:uid="{531CE9B9-D104-4C5B-B30F-4EA54ECE6B0F}"/>
    <hyperlink ref="C28" r:id="rId18" xr:uid="{27D2E752-F792-494D-8B8D-F6128A9169E6}"/>
    <hyperlink ref="C29" r:id="rId19" xr:uid="{BBCE3D43-AF21-4D55-8BAB-EF04B1204A58}"/>
    <hyperlink ref="C30" r:id="rId20" xr:uid="{FB7AA416-BFA8-43F5-A9B1-2C902D36A1DC}"/>
    <hyperlink ref="C32" r:id="rId21" xr:uid="{86D12E1A-227B-47DD-B83F-C1E6EE1EC6AA}"/>
    <hyperlink ref="C132" r:id="rId22" xr:uid="{C1CF0A84-45CE-4068-B50E-CBDCA8067D58}"/>
    <hyperlink ref="C4" r:id="rId23" xr:uid="{DB7EC933-A378-40DA-81AB-75E2FA004568}"/>
    <hyperlink ref="C78" r:id="rId24" xr:uid="{8D9F2DE4-C1D8-474F-9D7E-43D7CD0B4174}"/>
    <hyperlink ref="C63" r:id="rId25" xr:uid="{1A6B341C-D36B-4D0B-B5CA-603820357142}"/>
    <hyperlink ref="C125" r:id="rId26" xr:uid="{7C459471-2453-4D76-BA43-AD568BBC79FF}"/>
    <hyperlink ref="C136" r:id="rId27" xr:uid="{399FE0E6-C534-4643-91F2-0F299239C5B5}"/>
    <hyperlink ref="C133" r:id="rId28" xr:uid="{7CE2F697-102B-4AFC-B990-BB35672A896C}"/>
    <hyperlink ref="C53" r:id="rId29" xr:uid="{46826928-696D-47CC-A71B-1B4DC2E7A89C}"/>
    <hyperlink ref="C65" r:id="rId30" xr:uid="{2E25A039-4EF2-48D5-B5B0-37ECD28314C2}"/>
    <hyperlink ref="C68" r:id="rId31" xr:uid="{4EAF416C-B48E-4A8A-8639-84B648E616F7}"/>
    <hyperlink ref="C70" r:id="rId32" xr:uid="{F9A6FF0E-11FE-444D-93FC-19F27E031205}"/>
    <hyperlink ref="C51" r:id="rId33" xr:uid="{F03717D9-2C0F-4A61-A5C7-613758B656E6}"/>
    <hyperlink ref="C73" r:id="rId34" xr:uid="{68AC56A2-C23A-4108-AC8B-DB4CD49B9E1B}"/>
    <hyperlink ref="C74" r:id="rId35" xr:uid="{CECB3467-4177-41C5-A028-30142D2FA732}"/>
    <hyperlink ref="C3" r:id="rId36" xr:uid="{905374F2-22EE-4A09-9F2B-38AE6FD2C33F}"/>
    <hyperlink ref="C76" r:id="rId37" xr:uid="{2B90E0CE-39C8-4F11-93AF-93FE35DFC58B}"/>
    <hyperlink ref="C77" r:id="rId38" xr:uid="{E6DD503C-4989-4047-A6E8-EFA77E77046C}"/>
    <hyperlink ref="C134" r:id="rId39" xr:uid="{4A6D3CAF-7913-44B2-AB15-FA1778A6471B}"/>
    <hyperlink ref="C135" r:id="rId40" xr:uid="{42040FC4-9B1D-4034-BD0D-3C48EFAF75FF}"/>
    <hyperlink ref="C79" r:id="rId41" xr:uid="{5F2D93D5-34D8-4800-A6D2-F40793BB20F8}"/>
    <hyperlink ref="C80" r:id="rId42" xr:uid="{3B0840CE-AD89-4E98-9C08-4FA0B2DA1301}"/>
    <hyperlink ref="C81" r:id="rId43" xr:uid="{00B85164-061F-4B13-9089-BA85C63298CC}"/>
    <hyperlink ref="C119" r:id="rId44" xr:uid="{AAFCAA1C-B902-4D93-9BDD-898F10D7AA6F}"/>
    <hyperlink ref="C128" r:id="rId45" xr:uid="{19B7F89E-8F68-4A1E-A1E7-D32873BE2CDA}"/>
    <hyperlink ref="C130" r:id="rId46" xr:uid="{F034AD6F-A391-488D-A5FB-59FC74EB1157}"/>
    <hyperlink ref="C120" r:id="rId47" xr:uid="{1D7BCCC6-3FBE-4892-B97B-9D15E3147ED4}"/>
    <hyperlink ref="C82" r:id="rId48" xr:uid="{446B48C7-9D2F-4F4B-A98F-2679A4C48280}"/>
    <hyperlink ref="C118" r:id="rId49" xr:uid="{FCD39E3F-2FDC-4ABA-9022-3D41B7D5B060}"/>
    <hyperlink ref="C83" r:id="rId50" xr:uid="{0DDFD76F-1501-4E4D-9272-14C49CE02957}"/>
    <hyperlink ref="C129" r:id="rId51" xr:uid="{1CD1A12B-ED53-459F-B322-0C944FD8CAC1}"/>
    <hyperlink ref="C124" r:id="rId52" xr:uid="{055EE9E0-72B3-4D11-A0BE-5C3F6627F8FE}"/>
    <hyperlink ref="C116" r:id="rId53" xr:uid="{7818A11B-E222-490C-9FC7-FBBADEC40896}"/>
    <hyperlink ref="C84" r:id="rId54" xr:uid="{9E3D69D8-C2F3-41A1-9FB8-72085AFEA210}"/>
    <hyperlink ref="C121" r:id="rId55" xr:uid="{D9570D0B-D856-4568-91F0-91C48EFA6458}"/>
    <hyperlink ref="C117" r:id="rId56" xr:uid="{7203C7BD-ECD4-4C6F-8329-CFFF2CB1485F}"/>
    <hyperlink ref="C85" r:id="rId57" xr:uid="{370A678A-9789-4489-9E6B-5180E81AB616}"/>
    <hyperlink ref="C17" r:id="rId58" xr:uid="{F2A50ADD-7CB4-4A01-8A8B-35C239B763CF}"/>
    <hyperlink ref="C86" r:id="rId59" xr:uid="{2CDD224C-A7AA-43ED-81A9-1BC883E78CA3}"/>
    <hyperlink ref="C20" r:id="rId60" xr:uid="{BABB5008-C44E-4ABC-8B35-9A6F6219B093}"/>
    <hyperlink ref="C50" r:id="rId61" xr:uid="{14C793AD-EDA0-44F2-B4DA-C48AB718667C}"/>
    <hyperlink ref="C47" r:id="rId62" xr:uid="{E4EAC11D-16F2-43E9-879E-0F959D50BF81}"/>
    <hyperlink ref="C87" r:id="rId63" xr:uid="{1CD05BD4-9B7F-4403-B5AE-9FE8E2D6E35E}"/>
    <hyperlink ref="C88" r:id="rId64" xr:uid="{1F96925A-5DE8-402B-97D4-8854B98DD102}"/>
    <hyperlink ref="C131" r:id="rId65" xr:uid="{E17E4D95-E54B-4270-A60B-7F702D9479AC}"/>
    <hyperlink ref="C89" r:id="rId66" xr:uid="{2D1175C8-77E4-4E59-AF42-2F9AFE6EC3EF}"/>
    <hyperlink ref="C90" r:id="rId67" xr:uid="{13E89D22-8C4A-4215-9686-07A4EE2C1A09}"/>
    <hyperlink ref="C91" r:id="rId68" xr:uid="{017166B2-ED84-4E05-8BCD-65717FBF75B2}"/>
    <hyperlink ref="C25" r:id="rId69" xr:uid="{89F30E91-FBF7-4CCF-8C9A-34AF50FA85B0}"/>
    <hyperlink ref="C92" r:id="rId70" xr:uid="{D0BBCB21-0DC0-4F00-B24E-804F69B55E10}"/>
    <hyperlink ref="C31" r:id="rId71" xr:uid="{98A0C410-19B2-4975-9A5A-13D755957DEF}"/>
    <hyperlink ref="C138" r:id="rId72" xr:uid="{C6E989F0-D117-479D-9302-5EAFE83AE36C}"/>
    <hyperlink ref="C93" r:id="rId73" xr:uid="{0C66422C-6525-4B00-A063-F11A1B430D41}"/>
    <hyperlink ref="C94" r:id="rId74" xr:uid="{19F01AC1-819F-4322-8A41-1AE98BB219CB}"/>
    <hyperlink ref="C95" r:id="rId75" xr:uid="{5AADA9E0-1A0E-41E6-957C-E3CD1390C363}"/>
    <hyperlink ref="C96" r:id="rId76" xr:uid="{D5D1AB8A-C1E2-4E3E-9EF3-9EF57316F0E2}"/>
    <hyperlink ref="C97" r:id="rId77" xr:uid="{CA360344-B33F-48EB-99AE-E70375E17BCA}"/>
    <hyperlink ref="C33" r:id="rId78" xr:uid="{B09503BE-38DF-412A-80E6-8FF3794C161C}"/>
    <hyperlink ref="C15" r:id="rId79" xr:uid="{F2A269C8-AFAC-4408-9CAC-0BCBAAF2EE9D}"/>
    <hyperlink ref="C109" r:id="rId80" xr:uid="{955CCD25-63B4-4C9C-B38D-82366456EC8C}"/>
    <hyperlink ref="C45" r:id="rId81" xr:uid="{CFE01ACE-CDA5-4D6A-948B-BCA9A2DCBBEA}"/>
    <hyperlink ref="C35" r:id="rId82" xr:uid="{AF4C230F-D810-4141-A6D9-F2EB8EFC9388}"/>
    <hyperlink ref="C36" r:id="rId83" xr:uid="{11D1117E-482A-428F-AC44-147E4705DA2E}"/>
    <hyperlink ref="C14" r:id="rId84" xr:uid="{95F9C651-E859-4BAB-AD2C-8B7CEE674C6B}"/>
    <hyperlink ref="C34" r:id="rId85" xr:uid="{80EC614E-4565-4177-8519-44154437D2B5}"/>
    <hyperlink ref="C98" r:id="rId86" xr:uid="{F8712A9B-32CD-4848-9777-AE6D0C6541FF}"/>
    <hyperlink ref="C7" r:id="rId87" xr:uid="{56CD0015-5E27-4F1D-9F64-D1970CCB98A5}"/>
    <hyperlink ref="C101" r:id="rId88" xr:uid="{D1DAFB41-249B-4B9F-B1B9-8435756EE091}"/>
    <hyperlink ref="C66" r:id="rId89" xr:uid="{B714E4AD-5A72-47DC-BDF9-0E5558B8F984}"/>
    <hyperlink ref="C26" r:id="rId90" xr:uid="{09D804FE-2D33-4BE8-B197-7DE6B1D388FB}"/>
    <hyperlink ref="C58" r:id="rId91" xr:uid="{F70A3965-AC44-480F-B09B-294CB3810E6D}"/>
    <hyperlink ref="C37" r:id="rId92" xr:uid="{CCD41F01-7A6D-4E1C-AD62-F319360DE5AC}"/>
    <hyperlink ref="C38" r:id="rId93" xr:uid="{6863A2EB-9669-4895-A532-7C7541E317A7}"/>
    <hyperlink ref="C39" r:id="rId94" xr:uid="{C27C6C03-0D94-4F45-8604-5977A41177FC}"/>
    <hyperlink ref="C106" r:id="rId95" xr:uid="{E3E7521F-AF74-48DB-AC42-181D98337C46}"/>
    <hyperlink ref="C100" r:id="rId96" xr:uid="{40BC1ACB-BA06-42CF-957D-EDF51D28B0BF}"/>
    <hyperlink ref="C102" r:id="rId97" xr:uid="{6FFAFFBE-2431-4DE4-B59E-2F7E733AA086}"/>
    <hyperlink ref="C46" r:id="rId98" xr:uid="{47D7F51B-9116-418A-85C6-B1E54E8EC20F}"/>
    <hyperlink ref="C59" r:id="rId99" xr:uid="{D480FA52-59A6-462D-9863-132D5F43129A}"/>
    <hyperlink ref="C126" r:id="rId100" xr:uid="{22B17812-3A6F-4832-9E1C-94B2ED19335D}"/>
    <hyperlink ref="C40" r:id="rId101" xr:uid="{3C8DAF64-3C03-4F49-A871-7637D2FDAEC2}"/>
    <hyperlink ref="C2" r:id="rId102" xr:uid="{2A946FA9-6385-467B-8744-4A070264F28F}"/>
    <hyperlink ref="C57" r:id="rId103" xr:uid="{55146999-D8D8-4ABF-B6F8-910306EADDB2}"/>
    <hyperlink ref="C127" r:id="rId104" xr:uid="{E635DE3B-D2A6-4542-BFE9-9D32A34C0823}"/>
    <hyperlink ref="C99" r:id="rId105" xr:uid="{10AEA009-C0A7-4994-A546-11D5D30C87B2}"/>
    <hyperlink ref="C56" r:id="rId106" xr:uid="{F62992B1-97E3-4A9F-BC18-A05C3B8DD9D9}"/>
    <hyperlink ref="C60" r:id="rId107" xr:uid="{E7DFA59A-A467-47E0-B8A0-A4EFB82B9175}"/>
    <hyperlink ref="C43" r:id="rId108" xr:uid="{D45605CC-89CC-4E0C-98F3-8DB62FC7B6DE}"/>
    <hyperlink ref="Q60" r:id="rId109" display="WOF updated" xr:uid="{B63158F7-0C13-472E-A72B-115FA58EDD89}"/>
    <hyperlink ref="C103" r:id="rId110" xr:uid="{DCB0D835-7EB4-4EAC-9C7E-ACB6367BB59E}"/>
    <hyperlink ref="C104" r:id="rId111" xr:uid="{28B54039-6BD9-43E3-AF2F-E94BBA92A3E0}"/>
    <hyperlink ref="C67" r:id="rId112" xr:uid="{BC4522B0-7C53-4F6C-92D9-FA307E4ABC1B}"/>
    <hyperlink ref="C62" r:id="rId113" xr:uid="{1319BF4F-D3E5-4803-856D-9A08A21EF1D2}"/>
    <hyperlink ref="C105" r:id="rId114" xr:uid="{97717A1B-E867-4E50-9B0C-045B03EFE8FA}"/>
    <hyperlink ref="C16" r:id="rId115" xr:uid="{F30D5D61-F2B2-48E3-8D47-54AA2371D6CD}"/>
    <hyperlink ref="C42" r:id="rId116" xr:uid="{FD4614CF-ED30-40DF-899D-1E5B4916B491}"/>
    <hyperlink ref="C52" r:id="rId117" xr:uid="{9ADBBD26-D661-40B6-BD2A-241C713373CF}"/>
    <hyperlink ref="C75" r:id="rId118" xr:uid="{36DEC7AD-EA13-404B-A9D6-854FF4035E92}"/>
    <hyperlink ref="P16" r:id="rId119" xr:uid="{6255FC4A-D30B-4C41-A941-A54F984C05C6}"/>
    <hyperlink ref="C108" r:id="rId120" xr:uid="{3ECD4475-1250-4C6D-AE18-3715CA10DDAF}"/>
    <hyperlink ref="C111" r:id="rId121" xr:uid="{D9B5AC97-B6FE-418F-8E2B-BE795E5B986D}"/>
    <hyperlink ref="C112" r:id="rId122" xr:uid="{7DF0A85D-9550-464D-A01D-B19F47EC867E}"/>
  </hyperlinks>
  <pageMargins left="0.7" right="0.7" top="0.75" bottom="0.75" header="0.3" footer="0.3"/>
  <pageSetup paperSize="9" orientation="portrait" horizontalDpi="4294967293" verticalDpi="0" r:id="rId12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EBB17-9260-422D-8F1E-DE3A0F456D1C}">
  <dimension ref="A1:R867"/>
  <sheetViews>
    <sheetView topLeftCell="F1" workbookViewId="0">
      <pane ySplit="1" topLeftCell="A29" activePane="bottomLeft" state="frozen"/>
      <selection activeCell="B1" sqref="B1"/>
      <selection pane="bottomLeft" activeCell="A37" sqref="A37"/>
    </sheetView>
  </sheetViews>
  <sheetFormatPr defaultColWidth="14.44140625" defaultRowHeight="14.4" x14ac:dyDescent="0.3"/>
  <cols>
    <col min="1" max="1" width="22.21875" customWidth="1"/>
    <col min="2" max="2" width="8.6640625" bestFit="1" customWidth="1"/>
    <col min="3" max="3" width="10.6640625" bestFit="1" customWidth="1"/>
    <col min="4" max="4" width="13.21875" bestFit="1" customWidth="1"/>
    <col min="5" max="5" width="12.6640625" bestFit="1" customWidth="1"/>
    <col min="6" max="6" width="5.21875" bestFit="1" customWidth="1"/>
    <col min="7" max="7" width="14.5546875" customWidth="1"/>
    <col min="8" max="8" width="14.5546875" bestFit="1" customWidth="1"/>
    <col min="9" max="9" width="8.77734375" customWidth="1"/>
    <col min="10" max="10" width="15.6640625" style="34" customWidth="1"/>
    <col min="11" max="11" width="15.6640625" customWidth="1"/>
    <col min="12" max="12" width="15.6640625" style="34" customWidth="1"/>
    <col min="13" max="14" width="11.6640625" style="34" customWidth="1"/>
    <col min="15" max="15" width="17.88671875" style="34" bestFit="1" customWidth="1"/>
    <col min="16" max="16" width="20.44140625" bestFit="1" customWidth="1"/>
    <col min="17" max="17" width="39.21875" customWidth="1"/>
    <col min="18" max="18" width="38.5546875" bestFit="1" customWidth="1"/>
    <col min="19" max="29" width="8.6640625" customWidth="1"/>
  </cols>
  <sheetData>
    <row r="1" spans="1:18" ht="15.6" x14ac:dyDescent="0.3">
      <c r="A1" s="202" t="s">
        <v>1</v>
      </c>
      <c r="B1" s="204" t="s">
        <v>1461</v>
      </c>
      <c r="C1" s="203" t="s">
        <v>291</v>
      </c>
      <c r="D1" s="202" t="s">
        <v>292</v>
      </c>
      <c r="E1" s="202" t="s">
        <v>3</v>
      </c>
      <c r="F1" s="202" t="s">
        <v>5</v>
      </c>
      <c r="G1" s="202" t="s">
        <v>6</v>
      </c>
      <c r="H1" s="202" t="s">
        <v>7</v>
      </c>
      <c r="I1" s="204" t="s">
        <v>1184</v>
      </c>
      <c r="J1" s="224" t="s">
        <v>8</v>
      </c>
      <c r="K1" s="205" t="s">
        <v>1172</v>
      </c>
      <c r="L1" s="224" t="s">
        <v>293</v>
      </c>
      <c r="M1" s="224" t="s">
        <v>11</v>
      </c>
      <c r="N1" s="56" t="s">
        <v>546</v>
      </c>
      <c r="O1" s="222" t="s">
        <v>294</v>
      </c>
      <c r="P1" s="203" t="s">
        <v>295</v>
      </c>
      <c r="Q1" s="203" t="s">
        <v>296</v>
      </c>
      <c r="R1" s="206" t="s">
        <v>1290</v>
      </c>
    </row>
    <row r="2" spans="1:18" ht="15.75" customHeight="1" x14ac:dyDescent="0.3">
      <c r="A2" s="145" t="s">
        <v>1180</v>
      </c>
      <c r="B2" s="145"/>
      <c r="C2" s="228">
        <v>56799</v>
      </c>
      <c r="F2">
        <v>2012</v>
      </c>
      <c r="G2" t="s">
        <v>1181</v>
      </c>
      <c r="H2" t="s">
        <v>1182</v>
      </c>
      <c r="I2" t="s">
        <v>1183</v>
      </c>
      <c r="J2" s="225">
        <v>19301</v>
      </c>
      <c r="L2" s="225">
        <f>57.5+129</f>
        <v>186.5</v>
      </c>
      <c r="M2" s="223">
        <f>SUM(J2+K2+L2)</f>
        <v>19487.5</v>
      </c>
      <c r="N2" s="223"/>
      <c r="O2" s="223">
        <v>18000</v>
      </c>
      <c r="P2" t="s">
        <v>1416</v>
      </c>
    </row>
    <row r="3" spans="1:18" ht="15.75" customHeight="1" x14ac:dyDescent="0.3">
      <c r="A3" s="145" t="s">
        <v>1211</v>
      </c>
      <c r="B3" s="145"/>
      <c r="C3" s="228">
        <v>144352</v>
      </c>
      <c r="F3">
        <v>2011</v>
      </c>
      <c r="G3" t="s">
        <v>1181</v>
      </c>
      <c r="H3" t="s">
        <v>1213</v>
      </c>
      <c r="I3" t="s">
        <v>1183</v>
      </c>
      <c r="J3" s="225">
        <v>5711</v>
      </c>
      <c r="L3" s="225">
        <v>119</v>
      </c>
      <c r="M3" s="223">
        <f>SUM(J3+K3+L3)</f>
        <v>5830</v>
      </c>
      <c r="N3" s="223"/>
      <c r="O3" s="223">
        <v>5000</v>
      </c>
      <c r="P3" t="s">
        <v>1416</v>
      </c>
    </row>
    <row r="4" spans="1:18" ht="15.75" customHeight="1" x14ac:dyDescent="0.3">
      <c r="A4" s="200" t="s">
        <v>1316</v>
      </c>
      <c r="B4" s="200"/>
      <c r="C4" s="228">
        <v>147860</v>
      </c>
      <c r="F4" s="115">
        <v>2011</v>
      </c>
      <c r="G4" s="12" t="s">
        <v>1317</v>
      </c>
      <c r="H4" s="12" t="s">
        <v>1318</v>
      </c>
      <c r="I4" s="12" t="s">
        <v>1187</v>
      </c>
      <c r="O4" s="34">
        <v>5000</v>
      </c>
      <c r="P4" t="s">
        <v>1416</v>
      </c>
    </row>
    <row r="5" spans="1:18" ht="15.75" customHeight="1" x14ac:dyDescent="0.3">
      <c r="A5" t="s">
        <v>1615</v>
      </c>
      <c r="G5" t="s">
        <v>1148</v>
      </c>
      <c r="H5" t="s">
        <v>1343</v>
      </c>
      <c r="P5" t="s">
        <v>1616</v>
      </c>
    </row>
    <row r="6" spans="1:18" ht="15.75" customHeight="1" x14ac:dyDescent="0.3">
      <c r="A6" s="375" t="s">
        <v>1291</v>
      </c>
      <c r="B6" s="145"/>
      <c r="C6" s="228">
        <v>7331</v>
      </c>
      <c r="F6" s="123">
        <v>2014</v>
      </c>
      <c r="G6" s="121" t="s">
        <v>1292</v>
      </c>
      <c r="H6" s="121" t="s">
        <v>173</v>
      </c>
      <c r="I6" s="121" t="s">
        <v>1187</v>
      </c>
      <c r="J6" s="225"/>
      <c r="L6" s="225"/>
      <c r="M6" s="223"/>
      <c r="N6" s="223"/>
      <c r="O6" s="223">
        <v>20000</v>
      </c>
      <c r="P6" t="s">
        <v>1405</v>
      </c>
      <c r="Q6" s="419" t="s">
        <v>1634</v>
      </c>
      <c r="R6" t="s">
        <v>1417</v>
      </c>
    </row>
    <row r="7" spans="1:18" ht="15.75" customHeight="1" x14ac:dyDescent="0.3">
      <c r="A7" s="375" t="s">
        <v>1293</v>
      </c>
      <c r="B7" s="221"/>
      <c r="C7" s="228">
        <v>93169</v>
      </c>
      <c r="F7" s="198">
        <v>2012</v>
      </c>
      <c r="G7" s="197" t="s">
        <v>1294</v>
      </c>
      <c r="H7" s="197" t="s">
        <v>1295</v>
      </c>
      <c r="I7" s="197" t="s">
        <v>1183</v>
      </c>
      <c r="J7" s="225"/>
      <c r="L7" s="225"/>
      <c r="M7" s="223"/>
      <c r="N7" s="223"/>
      <c r="O7" s="223">
        <v>15000</v>
      </c>
      <c r="P7" t="s">
        <v>320</v>
      </c>
      <c r="Q7" s="419" t="s">
        <v>1634</v>
      </c>
    </row>
    <row r="8" spans="1:18" ht="15.75" customHeight="1" x14ac:dyDescent="0.3">
      <c r="A8" s="375" t="s">
        <v>1296</v>
      </c>
      <c r="B8" s="145"/>
      <c r="C8" s="228">
        <v>42993</v>
      </c>
      <c r="F8" s="115"/>
      <c r="G8" s="12" t="s">
        <v>21</v>
      </c>
      <c r="H8" s="12" t="s">
        <v>1297</v>
      </c>
      <c r="I8" s="12" t="s">
        <v>1215</v>
      </c>
      <c r="J8" s="225"/>
      <c r="L8" s="225"/>
      <c r="M8" s="223"/>
      <c r="N8" s="223"/>
      <c r="O8" s="223"/>
      <c r="P8" t="s">
        <v>320</v>
      </c>
    </row>
    <row r="9" spans="1:18" ht="15.75" customHeight="1" x14ac:dyDescent="0.3">
      <c r="A9" s="375" t="s">
        <v>1298</v>
      </c>
      <c r="B9" s="145"/>
      <c r="C9" s="228">
        <v>77072</v>
      </c>
      <c r="F9" s="198">
        <v>2010</v>
      </c>
      <c r="G9" s="197" t="s">
        <v>1294</v>
      </c>
      <c r="H9" s="197" t="s">
        <v>109</v>
      </c>
      <c r="I9" s="197" t="s">
        <v>1299</v>
      </c>
      <c r="J9" s="225"/>
      <c r="L9" s="225"/>
      <c r="O9" s="34">
        <v>9000</v>
      </c>
      <c r="P9" t="s">
        <v>320</v>
      </c>
      <c r="Q9" s="419" t="s">
        <v>1634</v>
      </c>
    </row>
    <row r="10" spans="1:18" ht="15.75" customHeight="1" x14ac:dyDescent="0.3">
      <c r="A10" s="375" t="s">
        <v>1212</v>
      </c>
      <c r="B10" s="145"/>
      <c r="C10" s="228">
        <v>59000</v>
      </c>
      <c r="F10" s="207">
        <v>2012</v>
      </c>
      <c r="G10" s="207" t="s">
        <v>21</v>
      </c>
      <c r="H10" s="207" t="s">
        <v>109</v>
      </c>
      <c r="I10" s="207" t="s">
        <v>1183</v>
      </c>
      <c r="J10" s="225">
        <v>20930</v>
      </c>
      <c r="L10" s="225">
        <v>229</v>
      </c>
      <c r="M10" s="223">
        <f>SUM(J10+K10+L10)</f>
        <v>21159</v>
      </c>
      <c r="N10" s="223"/>
      <c r="O10" s="223">
        <v>12000</v>
      </c>
      <c r="P10" t="s">
        <v>320</v>
      </c>
      <c r="Q10" s="419" t="s">
        <v>1634</v>
      </c>
    </row>
    <row r="11" spans="1:18" ht="15.75" customHeight="1" x14ac:dyDescent="0.3">
      <c r="A11" s="375" t="s">
        <v>1300</v>
      </c>
      <c r="B11" s="145"/>
      <c r="C11" s="228">
        <v>46000</v>
      </c>
      <c r="F11" s="123">
        <v>2014</v>
      </c>
      <c r="G11" s="121" t="s">
        <v>489</v>
      </c>
      <c r="H11" s="121" t="s">
        <v>496</v>
      </c>
      <c r="I11" s="121" t="s">
        <v>1187</v>
      </c>
      <c r="J11" s="225"/>
      <c r="L11" s="225"/>
      <c r="O11" s="34">
        <v>17000</v>
      </c>
      <c r="P11" t="s">
        <v>320</v>
      </c>
      <c r="Q11" s="419" t="s">
        <v>1634</v>
      </c>
      <c r="R11" t="s">
        <v>1590</v>
      </c>
    </row>
    <row r="12" spans="1:18" ht="15.75" customHeight="1" x14ac:dyDescent="0.3">
      <c r="A12" s="375" t="s">
        <v>1303</v>
      </c>
      <c r="B12" s="145"/>
      <c r="C12" s="228">
        <v>115595</v>
      </c>
      <c r="F12" s="115">
        <v>2006</v>
      </c>
      <c r="G12" s="12" t="s">
        <v>1304</v>
      </c>
      <c r="H12" s="12" t="s">
        <v>45</v>
      </c>
      <c r="I12" s="12" t="s">
        <v>1187</v>
      </c>
      <c r="J12" s="225"/>
      <c r="L12" s="225"/>
      <c r="O12" s="34">
        <v>8000</v>
      </c>
      <c r="P12" t="s">
        <v>320</v>
      </c>
      <c r="Q12" s="173" t="s">
        <v>1621</v>
      </c>
      <c r="R12" s="154" t="s">
        <v>1632</v>
      </c>
    </row>
    <row r="13" spans="1:18" ht="15.75" customHeight="1" x14ac:dyDescent="0.3">
      <c r="A13" s="417" t="s">
        <v>1305</v>
      </c>
      <c r="B13" s="344" t="s">
        <v>1581</v>
      </c>
      <c r="C13" s="228">
        <v>146000</v>
      </c>
      <c r="F13" s="115">
        <v>2008</v>
      </c>
      <c r="G13" s="12" t="s">
        <v>1304</v>
      </c>
      <c r="H13" s="12" t="s">
        <v>45</v>
      </c>
      <c r="I13" s="12" t="s">
        <v>1183</v>
      </c>
      <c r="J13" s="225"/>
      <c r="L13" s="225"/>
      <c r="O13" s="34">
        <v>6000</v>
      </c>
      <c r="P13" t="s">
        <v>320</v>
      </c>
    </row>
    <row r="14" spans="1:18" ht="15.75" customHeight="1" x14ac:dyDescent="0.3">
      <c r="A14" s="375" t="s">
        <v>1308</v>
      </c>
      <c r="B14" s="145"/>
      <c r="C14" s="228">
        <v>41187</v>
      </c>
      <c r="F14" s="198">
        <v>2012</v>
      </c>
      <c r="G14" s="197" t="s">
        <v>1309</v>
      </c>
      <c r="H14" s="197" t="s">
        <v>1310</v>
      </c>
      <c r="I14" s="197" t="s">
        <v>1215</v>
      </c>
      <c r="O14" s="34">
        <v>18000</v>
      </c>
      <c r="P14" t="s">
        <v>320</v>
      </c>
    </row>
    <row r="15" spans="1:18" ht="15.75" customHeight="1" x14ac:dyDescent="0.3">
      <c r="A15" s="375" t="s">
        <v>1311</v>
      </c>
      <c r="B15" s="145"/>
      <c r="C15" s="228">
        <v>74235</v>
      </c>
      <c r="F15" s="198">
        <v>2007</v>
      </c>
      <c r="G15" s="197" t="s">
        <v>1309</v>
      </c>
      <c r="H15" s="197" t="s">
        <v>1312</v>
      </c>
      <c r="I15" s="197" t="s">
        <v>1215</v>
      </c>
      <c r="O15" s="34">
        <v>12000</v>
      </c>
      <c r="P15" t="s">
        <v>320</v>
      </c>
    </row>
    <row r="16" spans="1:18" ht="15.75" customHeight="1" x14ac:dyDescent="0.3">
      <c r="A16" s="375" t="s">
        <v>1313</v>
      </c>
      <c r="B16" s="145"/>
      <c r="C16" s="228">
        <v>72900</v>
      </c>
      <c r="F16" s="115">
        <v>2008</v>
      </c>
      <c r="G16" s="12" t="s">
        <v>1189</v>
      </c>
      <c r="H16" s="12" t="s">
        <v>1314</v>
      </c>
      <c r="I16" s="12" t="s">
        <v>1315</v>
      </c>
      <c r="O16" s="34">
        <v>8000</v>
      </c>
      <c r="P16" t="s">
        <v>320</v>
      </c>
      <c r="Q16" s="22" t="s">
        <v>1582</v>
      </c>
      <c r="R16" s="419" t="s">
        <v>1637</v>
      </c>
    </row>
    <row r="17" spans="1:18" ht="15.75" customHeight="1" x14ac:dyDescent="0.3">
      <c r="A17" s="375" t="s">
        <v>1319</v>
      </c>
      <c r="B17" s="145"/>
      <c r="C17" s="228">
        <v>160721</v>
      </c>
      <c r="F17" s="115">
        <v>2010</v>
      </c>
      <c r="G17" s="12" t="s">
        <v>1317</v>
      </c>
      <c r="H17" s="12" t="s">
        <v>1320</v>
      </c>
      <c r="I17" s="12" t="s">
        <v>1187</v>
      </c>
      <c r="O17" s="34">
        <v>7000</v>
      </c>
      <c r="P17" t="s">
        <v>320</v>
      </c>
      <c r="Q17" s="173" t="s">
        <v>1621</v>
      </c>
    </row>
    <row r="18" spans="1:18" ht="15.75" customHeight="1" x14ac:dyDescent="0.3">
      <c r="A18" t="s">
        <v>1170</v>
      </c>
      <c r="C18" s="228">
        <v>90655</v>
      </c>
      <c r="F18">
        <v>2014</v>
      </c>
      <c r="G18" t="s">
        <v>1171</v>
      </c>
      <c r="H18" t="s">
        <v>1185</v>
      </c>
      <c r="I18" t="s">
        <v>1183</v>
      </c>
      <c r="J18" s="225">
        <v>19600</v>
      </c>
      <c r="K18" s="53"/>
      <c r="L18" s="225">
        <f>2414.22+92</f>
        <v>2506.2199999999998</v>
      </c>
      <c r="M18" s="223">
        <f>SUM(J18+L18)</f>
        <v>22106.22</v>
      </c>
      <c r="N18" s="223"/>
      <c r="O18" s="223">
        <f>SUM(M18+500)</f>
        <v>22606.22</v>
      </c>
      <c r="P18" t="s">
        <v>1620</v>
      </c>
      <c r="Q18" t="s">
        <v>1280</v>
      </c>
      <c r="R18" t="s">
        <v>1404</v>
      </c>
    </row>
    <row r="19" spans="1:18" ht="15.75" customHeight="1" x14ac:dyDescent="0.3">
      <c r="A19" s="375" t="s">
        <v>1323</v>
      </c>
      <c r="B19" s="145"/>
      <c r="C19" s="228">
        <v>166156</v>
      </c>
      <c r="F19" s="115">
        <v>2012</v>
      </c>
      <c r="G19" s="12" t="s">
        <v>96</v>
      </c>
      <c r="H19" s="12" t="s">
        <v>1324</v>
      </c>
      <c r="I19" s="12" t="s">
        <v>1325</v>
      </c>
      <c r="O19" s="34">
        <v>7500</v>
      </c>
      <c r="P19" t="s">
        <v>320</v>
      </c>
      <c r="Q19" s="173" t="s">
        <v>1621</v>
      </c>
      <c r="R19" t="s">
        <v>1408</v>
      </c>
    </row>
    <row r="20" spans="1:18" ht="15.75" customHeight="1" x14ac:dyDescent="0.3">
      <c r="A20" s="375" t="s">
        <v>1326</v>
      </c>
      <c r="B20" s="145"/>
      <c r="C20" s="228">
        <v>86278</v>
      </c>
      <c r="F20" s="115">
        <v>2009</v>
      </c>
      <c r="G20" s="12" t="s">
        <v>96</v>
      </c>
      <c r="H20" s="12" t="s">
        <v>100</v>
      </c>
      <c r="I20" s="12" t="s">
        <v>1187</v>
      </c>
      <c r="O20" s="34">
        <v>10000</v>
      </c>
      <c r="P20" t="s">
        <v>320</v>
      </c>
      <c r="Q20" s="419" t="s">
        <v>1634</v>
      </c>
    </row>
    <row r="21" spans="1:18" ht="15.75" customHeight="1" x14ac:dyDescent="0.3">
      <c r="A21" s="375" t="s">
        <v>1327</v>
      </c>
      <c r="B21" s="145"/>
      <c r="C21" s="228">
        <v>160425</v>
      </c>
      <c r="F21" s="198">
        <v>2004</v>
      </c>
      <c r="G21" s="197" t="s">
        <v>1209</v>
      </c>
      <c r="H21" s="197" t="s">
        <v>1328</v>
      </c>
      <c r="I21" s="197" t="s">
        <v>1329</v>
      </c>
      <c r="O21" s="34">
        <v>5000</v>
      </c>
      <c r="P21" t="s">
        <v>320</v>
      </c>
      <c r="R21" t="s">
        <v>1397</v>
      </c>
    </row>
    <row r="22" spans="1:18" ht="15.75" customHeight="1" x14ac:dyDescent="0.3">
      <c r="A22" s="377" t="s">
        <v>1330</v>
      </c>
      <c r="B22" s="152"/>
      <c r="C22" s="228">
        <v>94600</v>
      </c>
      <c r="F22" s="115"/>
      <c r="G22" s="12" t="s">
        <v>1209</v>
      </c>
      <c r="H22" s="12" t="s">
        <v>1331</v>
      </c>
      <c r="I22" s="12" t="s">
        <v>1332</v>
      </c>
      <c r="P22" t="s">
        <v>320</v>
      </c>
      <c r="R22" t="s">
        <v>1409</v>
      </c>
    </row>
    <row r="23" spans="1:18" ht="15.75" customHeight="1" x14ac:dyDescent="0.3">
      <c r="A23" s="375" t="s">
        <v>1333</v>
      </c>
      <c r="B23" s="345" t="s">
        <v>1552</v>
      </c>
      <c r="C23" s="228">
        <v>135526</v>
      </c>
      <c r="F23" s="198">
        <v>2010</v>
      </c>
      <c r="G23" s="197" t="s">
        <v>96</v>
      </c>
      <c r="H23" s="197" t="s">
        <v>97</v>
      </c>
      <c r="I23" s="197" t="s">
        <v>1187</v>
      </c>
      <c r="O23" s="34">
        <v>7000</v>
      </c>
      <c r="P23" t="s">
        <v>320</v>
      </c>
      <c r="Q23" s="173" t="s">
        <v>1621</v>
      </c>
      <c r="R23" t="s">
        <v>1411</v>
      </c>
    </row>
    <row r="24" spans="1:18" ht="15.75" customHeight="1" x14ac:dyDescent="0.3">
      <c r="A24" s="227" t="s">
        <v>1214</v>
      </c>
      <c r="B24" s="345" t="s">
        <v>1523</v>
      </c>
      <c r="C24" s="228">
        <v>129153</v>
      </c>
      <c r="F24">
        <v>2008</v>
      </c>
      <c r="G24" t="s">
        <v>96</v>
      </c>
      <c r="H24" t="s">
        <v>97</v>
      </c>
      <c r="I24" t="s">
        <v>1215</v>
      </c>
      <c r="J24" s="225"/>
      <c r="L24" s="225">
        <v>119</v>
      </c>
      <c r="M24" s="223">
        <f>SUM(J24+K24+L24)</f>
        <v>119</v>
      </c>
      <c r="N24" s="223"/>
      <c r="O24" s="223">
        <v>6500</v>
      </c>
      <c r="P24" t="s">
        <v>1416</v>
      </c>
      <c r="Q24" t="s">
        <v>1638</v>
      </c>
      <c r="R24" t="s">
        <v>1413</v>
      </c>
    </row>
    <row r="25" spans="1:18" ht="15.75" customHeight="1" x14ac:dyDescent="0.3">
      <c r="A25" s="375" t="s">
        <v>1216</v>
      </c>
      <c r="B25" s="227"/>
      <c r="C25" s="228">
        <v>157203</v>
      </c>
      <c r="F25">
        <v>2011</v>
      </c>
      <c r="G25" t="s">
        <v>1148</v>
      </c>
      <c r="H25" t="s">
        <v>1217</v>
      </c>
      <c r="I25" t="s">
        <v>1215</v>
      </c>
      <c r="J25" s="225">
        <v>6850</v>
      </c>
      <c r="L25" s="225">
        <v>119</v>
      </c>
      <c r="M25" s="223">
        <f>SUM(J25+K25+L25)</f>
        <v>6969</v>
      </c>
      <c r="N25" s="223"/>
      <c r="O25" s="223">
        <v>6000</v>
      </c>
      <c r="P25" t="s">
        <v>320</v>
      </c>
      <c r="R25" t="s">
        <v>1414</v>
      </c>
    </row>
    <row r="26" spans="1:18" ht="15.75" customHeight="1" x14ac:dyDescent="0.3">
      <c r="A26" s="377" t="s">
        <v>1344</v>
      </c>
      <c r="B26" s="152"/>
      <c r="C26" s="228">
        <v>110533</v>
      </c>
      <c r="F26" s="115">
        <v>2010</v>
      </c>
      <c r="G26" s="12" t="s">
        <v>1148</v>
      </c>
      <c r="H26" s="115" t="s">
        <v>262</v>
      </c>
      <c r="I26" s="12" t="s">
        <v>1187</v>
      </c>
      <c r="P26" t="s">
        <v>320</v>
      </c>
      <c r="Q26" s="173" t="s">
        <v>1621</v>
      </c>
    </row>
    <row r="27" spans="1:18" ht="15.75" customHeight="1" x14ac:dyDescent="0.3">
      <c r="A27" s="377" t="s">
        <v>1345</v>
      </c>
      <c r="B27" s="152"/>
      <c r="C27" s="228">
        <v>88632</v>
      </c>
      <c r="F27" s="115">
        <v>2009</v>
      </c>
      <c r="G27" s="12" t="s">
        <v>539</v>
      </c>
      <c r="H27" s="12" t="s">
        <v>1346</v>
      </c>
      <c r="I27" s="12" t="s">
        <v>1183</v>
      </c>
      <c r="P27" t="s">
        <v>320</v>
      </c>
      <c r="Q27" s="173" t="s">
        <v>1621</v>
      </c>
      <c r="R27" t="s">
        <v>1415</v>
      </c>
    </row>
    <row r="28" spans="1:18" ht="15.75" customHeight="1" x14ac:dyDescent="0.3">
      <c r="A28" s="375" t="s">
        <v>1348</v>
      </c>
      <c r="B28" s="227"/>
      <c r="C28" s="228">
        <v>56663</v>
      </c>
      <c r="F28" s="198">
        <v>2010</v>
      </c>
      <c r="G28" s="197" t="s">
        <v>1349</v>
      </c>
      <c r="H28" s="197" t="s">
        <v>1350</v>
      </c>
      <c r="I28" s="197" t="s">
        <v>1187</v>
      </c>
      <c r="P28" t="s">
        <v>320</v>
      </c>
      <c r="Q28" s="419" t="s">
        <v>1634</v>
      </c>
      <c r="R28" t="s">
        <v>1395</v>
      </c>
    </row>
    <row r="29" spans="1:18" ht="15.75" customHeight="1" x14ac:dyDescent="0.3">
      <c r="A29" s="375" t="s">
        <v>1351</v>
      </c>
      <c r="B29" s="227"/>
      <c r="C29" s="228">
        <v>36010</v>
      </c>
      <c r="F29" s="198">
        <v>2008</v>
      </c>
      <c r="G29" s="197" t="s">
        <v>1349</v>
      </c>
      <c r="H29" s="197" t="s">
        <v>1350</v>
      </c>
      <c r="I29" s="197" t="s">
        <v>1352</v>
      </c>
      <c r="O29" s="34">
        <v>8000</v>
      </c>
      <c r="P29" t="s">
        <v>320</v>
      </c>
      <c r="Q29" s="419" t="s">
        <v>1634</v>
      </c>
      <c r="R29" t="s">
        <v>1396</v>
      </c>
    </row>
    <row r="30" spans="1:18" ht="15.75" customHeight="1" x14ac:dyDescent="0.3">
      <c r="A30" s="375" t="s">
        <v>1355</v>
      </c>
      <c r="B30" s="227"/>
      <c r="C30" s="228">
        <v>61579</v>
      </c>
      <c r="F30" s="198">
        <v>2008</v>
      </c>
      <c r="G30" s="197" t="s">
        <v>1349</v>
      </c>
      <c r="H30" s="197" t="s">
        <v>1356</v>
      </c>
      <c r="I30" s="197" t="s">
        <v>1183</v>
      </c>
      <c r="O30" s="34">
        <v>13000</v>
      </c>
      <c r="P30" t="s">
        <v>320</v>
      </c>
      <c r="Q30" s="173" t="s">
        <v>1621</v>
      </c>
      <c r="R30" t="s">
        <v>1401</v>
      </c>
    </row>
    <row r="31" spans="1:18" ht="15.75" customHeight="1" x14ac:dyDescent="0.3">
      <c r="A31" s="375" t="s">
        <v>1357</v>
      </c>
      <c r="B31" s="227"/>
      <c r="C31" s="228">
        <v>53910</v>
      </c>
      <c r="F31" s="198">
        <v>2012</v>
      </c>
      <c r="G31" s="197" t="s">
        <v>696</v>
      </c>
      <c r="H31" s="197" t="s">
        <v>1358</v>
      </c>
      <c r="I31" s="197" t="s">
        <v>1187</v>
      </c>
      <c r="O31" s="34">
        <v>10000</v>
      </c>
      <c r="P31" t="s">
        <v>320</v>
      </c>
      <c r="Q31" s="419" t="s">
        <v>1634</v>
      </c>
      <c r="R31" t="s">
        <v>1402</v>
      </c>
    </row>
    <row r="32" spans="1:18" ht="15.75" customHeight="1" x14ac:dyDescent="0.3">
      <c r="A32" s="375" t="s">
        <v>1361</v>
      </c>
      <c r="B32" s="145"/>
      <c r="C32" s="228">
        <v>86048</v>
      </c>
      <c r="F32" s="115">
        <v>2011</v>
      </c>
      <c r="G32" s="12" t="s">
        <v>143</v>
      </c>
      <c r="H32" s="12" t="s">
        <v>1358</v>
      </c>
      <c r="I32" s="12" t="s">
        <v>1362</v>
      </c>
      <c r="O32" s="34">
        <v>8000</v>
      </c>
      <c r="P32" t="s">
        <v>320</v>
      </c>
      <c r="Q32" s="419" t="s">
        <v>1634</v>
      </c>
      <c r="R32" t="s">
        <v>1403</v>
      </c>
    </row>
    <row r="33" spans="1:18" ht="15.75" customHeight="1" x14ac:dyDescent="0.3">
      <c r="A33" s="375" t="s">
        <v>1398</v>
      </c>
      <c r="B33" s="145"/>
      <c r="C33" s="228">
        <v>76519</v>
      </c>
      <c r="F33">
        <v>2004</v>
      </c>
      <c r="G33" t="s">
        <v>212</v>
      </c>
      <c r="H33" t="s">
        <v>362</v>
      </c>
      <c r="I33" t="s">
        <v>1399</v>
      </c>
      <c r="P33" t="s">
        <v>320</v>
      </c>
      <c r="R33" t="s">
        <v>1400</v>
      </c>
    </row>
    <row r="34" spans="1:18" ht="15.75" customHeight="1" x14ac:dyDescent="0.3">
      <c r="A34" s="201" t="s">
        <v>298</v>
      </c>
      <c r="B34" s="201"/>
      <c r="C34" s="228">
        <v>105182</v>
      </c>
      <c r="F34" s="115">
        <v>2012</v>
      </c>
      <c r="G34" s="12" t="s">
        <v>1209</v>
      </c>
      <c r="H34" s="12" t="s">
        <v>1322</v>
      </c>
      <c r="I34" s="12" t="s">
        <v>1183</v>
      </c>
      <c r="P34" t="s">
        <v>1405</v>
      </c>
      <c r="R34" t="s">
        <v>1406</v>
      </c>
    </row>
    <row r="35" spans="1:18" ht="15.75" customHeight="1" x14ac:dyDescent="0.3">
      <c r="A35" t="s">
        <v>1434</v>
      </c>
      <c r="B35" t="s">
        <v>1609</v>
      </c>
      <c r="F35">
        <v>2013</v>
      </c>
      <c r="G35" t="s">
        <v>21</v>
      </c>
      <c r="H35" t="s">
        <v>1435</v>
      </c>
      <c r="I35" t="s">
        <v>1183</v>
      </c>
      <c r="J35" s="34">
        <v>34000</v>
      </c>
      <c r="L35" s="34">
        <v>2667.25</v>
      </c>
      <c r="M35" s="223">
        <f>SUM(J35+K35+L35)</f>
        <v>36667.25</v>
      </c>
      <c r="N35" s="223"/>
      <c r="P35" t="s">
        <v>1436</v>
      </c>
    </row>
    <row r="36" spans="1:18" ht="15.75" customHeight="1" x14ac:dyDescent="0.3">
      <c r="A36" t="s">
        <v>1645</v>
      </c>
      <c r="F36" t="s">
        <v>1646</v>
      </c>
      <c r="P36" t="s">
        <v>1231</v>
      </c>
    </row>
    <row r="37" spans="1:18" ht="15.75" customHeight="1" x14ac:dyDescent="0.3">
      <c r="A37" t="s">
        <v>1652</v>
      </c>
      <c r="F37">
        <v>2014</v>
      </c>
      <c r="G37" t="s">
        <v>1292</v>
      </c>
      <c r="H37" t="s">
        <v>206</v>
      </c>
      <c r="I37" t="s">
        <v>1335</v>
      </c>
      <c r="R37" t="s">
        <v>1650</v>
      </c>
    </row>
    <row r="38" spans="1:18" ht="15.75" customHeight="1" x14ac:dyDescent="0.3"/>
    <row r="39" spans="1:18" ht="15.75" customHeight="1" x14ac:dyDescent="0.3"/>
    <row r="40" spans="1:18" ht="15.75" customHeight="1" x14ac:dyDescent="0.3"/>
    <row r="41" spans="1:18" ht="15.75" customHeight="1" x14ac:dyDescent="0.3"/>
    <row r="42" spans="1:18" ht="15.75" customHeight="1" x14ac:dyDescent="0.35">
      <c r="A42" s="159" t="s">
        <v>1205</v>
      </c>
      <c r="B42" s="159"/>
    </row>
    <row r="43" spans="1:18" ht="15.75" customHeight="1" x14ac:dyDescent="0.3">
      <c r="A43" s="236" t="s">
        <v>1203</v>
      </c>
      <c r="B43" s="236"/>
      <c r="F43">
        <v>2006</v>
      </c>
      <c r="G43" t="s">
        <v>96</v>
      </c>
      <c r="H43" t="s">
        <v>97</v>
      </c>
      <c r="R43" t="s">
        <v>1204</v>
      </c>
    </row>
    <row r="44" spans="1:18" ht="15.75" customHeight="1" x14ac:dyDescent="0.3">
      <c r="A44" s="102" t="s">
        <v>1337</v>
      </c>
      <c r="B44" s="102"/>
      <c r="F44" s="115">
        <v>2013</v>
      </c>
      <c r="G44" s="12" t="s">
        <v>1338</v>
      </c>
      <c r="H44" s="12" t="s">
        <v>1339</v>
      </c>
      <c r="I44" s="12" t="s">
        <v>1299</v>
      </c>
      <c r="O44" s="34">
        <v>4000</v>
      </c>
      <c r="P44" t="s">
        <v>320</v>
      </c>
      <c r="R44" t="s">
        <v>1393</v>
      </c>
    </row>
    <row r="45" spans="1:18" ht="15.75" customHeight="1" x14ac:dyDescent="0.3">
      <c r="A45" s="247" t="s">
        <v>1359</v>
      </c>
      <c r="B45" s="247"/>
      <c r="C45" s="228">
        <v>53394</v>
      </c>
      <c r="F45" s="198">
        <v>2013</v>
      </c>
      <c r="G45" s="197" t="s">
        <v>143</v>
      </c>
      <c r="H45" s="197" t="s">
        <v>1358</v>
      </c>
      <c r="I45" s="197" t="s">
        <v>1360</v>
      </c>
      <c r="O45" s="34">
        <v>11000</v>
      </c>
      <c r="P45" t="s">
        <v>320</v>
      </c>
      <c r="R45" t="s">
        <v>1424</v>
      </c>
    </row>
    <row r="46" spans="1:18" ht="15.75" customHeight="1" x14ac:dyDescent="0.3">
      <c r="A46" s="236" t="s">
        <v>1176</v>
      </c>
      <c r="B46" s="236"/>
      <c r="F46">
        <v>2007</v>
      </c>
      <c r="G46" t="s">
        <v>539</v>
      </c>
      <c r="H46" t="s">
        <v>1425</v>
      </c>
      <c r="I46" t="s">
        <v>1183</v>
      </c>
    </row>
    <row r="47" spans="1:18" ht="15.75" customHeight="1" x14ac:dyDescent="0.3">
      <c r="A47" s="145" t="s">
        <v>1391</v>
      </c>
      <c r="B47" s="145"/>
      <c r="C47" s="228">
        <v>48591</v>
      </c>
      <c r="G47" s="197" t="s">
        <v>1292</v>
      </c>
      <c r="H47" s="197" t="s">
        <v>1392</v>
      </c>
      <c r="I47" s="197" t="s">
        <v>1187</v>
      </c>
      <c r="O47" s="34" t="s">
        <v>1205</v>
      </c>
      <c r="R47" t="s">
        <v>1397</v>
      </c>
    </row>
    <row r="48" spans="1:18" ht="15.75" customHeight="1" x14ac:dyDescent="0.3">
      <c r="A48" s="236" t="s">
        <v>1208</v>
      </c>
      <c r="B48" t="s">
        <v>1550</v>
      </c>
      <c r="C48" s="228">
        <v>113923</v>
      </c>
      <c r="F48">
        <v>2013</v>
      </c>
      <c r="G48" t="s">
        <v>1209</v>
      </c>
      <c r="H48" t="s">
        <v>1210</v>
      </c>
      <c r="I48" t="s">
        <v>1187</v>
      </c>
      <c r="J48" s="225">
        <v>14730</v>
      </c>
      <c r="L48" s="225">
        <v>119</v>
      </c>
      <c r="M48" s="223">
        <f>SUM(J48+K48+L48)</f>
        <v>14849</v>
      </c>
      <c r="N48" s="223"/>
      <c r="O48" s="223">
        <v>15000</v>
      </c>
      <c r="P48" t="s">
        <v>320</v>
      </c>
      <c r="Q48" t="s">
        <v>1407</v>
      </c>
      <c r="R48" t="s">
        <v>1566</v>
      </c>
    </row>
    <row r="49" spans="1:18" ht="15.75" customHeight="1" x14ac:dyDescent="0.3">
      <c r="A49" s="102" t="s">
        <v>1321</v>
      </c>
      <c r="B49" s="12" t="s">
        <v>1523</v>
      </c>
      <c r="C49" s="228">
        <v>176000</v>
      </c>
      <c r="F49" s="115">
        <v>2009</v>
      </c>
      <c r="G49" s="12" t="s">
        <v>1317</v>
      </c>
      <c r="H49" s="12" t="s">
        <v>1320</v>
      </c>
      <c r="I49" s="12" t="s">
        <v>1187</v>
      </c>
      <c r="O49" s="34">
        <v>6000</v>
      </c>
      <c r="P49" t="s">
        <v>320</v>
      </c>
      <c r="R49" t="s">
        <v>1584</v>
      </c>
    </row>
    <row r="50" spans="1:18" ht="15.75" customHeight="1" x14ac:dyDescent="0.3">
      <c r="A50" s="247" t="s">
        <v>1347</v>
      </c>
      <c r="B50" s="345" t="s">
        <v>1523</v>
      </c>
      <c r="C50" s="228">
        <v>115937</v>
      </c>
      <c r="F50" s="115">
        <v>2014</v>
      </c>
      <c r="G50" s="12" t="s">
        <v>29</v>
      </c>
      <c r="H50" s="12" t="s">
        <v>1143</v>
      </c>
      <c r="I50" s="12" t="s">
        <v>1215</v>
      </c>
      <c r="O50" s="34">
        <v>10000</v>
      </c>
      <c r="P50" t="s">
        <v>320</v>
      </c>
      <c r="R50" t="s">
        <v>1599</v>
      </c>
    </row>
    <row r="51" spans="1:18" ht="15.75" customHeight="1" x14ac:dyDescent="0.3">
      <c r="A51" s="247" t="s">
        <v>1336</v>
      </c>
      <c r="B51" s="345" t="s">
        <v>1523</v>
      </c>
      <c r="C51" s="228">
        <v>113060</v>
      </c>
      <c r="F51" s="198">
        <v>2009</v>
      </c>
      <c r="G51" s="197" t="s">
        <v>96</v>
      </c>
      <c r="H51" s="197" t="s">
        <v>97</v>
      </c>
      <c r="I51" s="197" t="s">
        <v>1335</v>
      </c>
      <c r="O51" s="34">
        <v>8000</v>
      </c>
      <c r="P51" t="s">
        <v>320</v>
      </c>
      <c r="Q51" t="s">
        <v>1410</v>
      </c>
      <c r="R51" t="s">
        <v>1598</v>
      </c>
    </row>
    <row r="52" spans="1:18" ht="15.75" customHeight="1" x14ac:dyDescent="0.3">
      <c r="A52" s="342" t="s">
        <v>1301</v>
      </c>
      <c r="B52" s="343" t="s">
        <v>1551</v>
      </c>
      <c r="C52" s="228">
        <v>114617</v>
      </c>
      <c r="F52" s="115">
        <v>2009</v>
      </c>
      <c r="G52" s="12" t="s">
        <v>201</v>
      </c>
      <c r="H52" s="12" t="s">
        <v>1302</v>
      </c>
      <c r="I52" s="12" t="s">
        <v>1187</v>
      </c>
      <c r="J52" s="225"/>
      <c r="L52" s="225"/>
      <c r="O52" s="34">
        <v>5500</v>
      </c>
      <c r="P52" t="s">
        <v>320</v>
      </c>
      <c r="R52" t="s">
        <v>1607</v>
      </c>
    </row>
    <row r="53" spans="1:18" ht="15.75" customHeight="1" x14ac:dyDescent="0.3">
      <c r="A53" s="226" t="s">
        <v>1306</v>
      </c>
      <c r="B53" s="344" t="s">
        <v>1523</v>
      </c>
      <c r="C53" s="228">
        <v>115637</v>
      </c>
      <c r="F53" s="199">
        <v>2008</v>
      </c>
      <c r="G53" s="12" t="s">
        <v>1181</v>
      </c>
      <c r="H53" s="12" t="s">
        <v>1307</v>
      </c>
      <c r="I53" s="12" t="s">
        <v>1215</v>
      </c>
      <c r="L53" s="225"/>
      <c r="P53" t="s">
        <v>320</v>
      </c>
      <c r="R53" t="s">
        <v>1565</v>
      </c>
    </row>
    <row r="54" spans="1:18" ht="15.75" customHeight="1" x14ac:dyDescent="0.3">
      <c r="A54" s="227" t="s">
        <v>1334</v>
      </c>
      <c r="B54" s="345" t="s">
        <v>1523</v>
      </c>
      <c r="C54" s="228">
        <v>141051</v>
      </c>
      <c r="F54" s="115">
        <v>2011</v>
      </c>
      <c r="G54" s="12" t="s">
        <v>96</v>
      </c>
      <c r="H54" s="12" t="s">
        <v>97</v>
      </c>
      <c r="I54" s="12" t="s">
        <v>1335</v>
      </c>
      <c r="O54" s="34">
        <v>7500</v>
      </c>
      <c r="P54" t="s">
        <v>1405</v>
      </c>
      <c r="Q54" t="s">
        <v>1412</v>
      </c>
      <c r="R54" t="s">
        <v>1644</v>
      </c>
    </row>
    <row r="55" spans="1:18" ht="15.75" customHeight="1" x14ac:dyDescent="0.3">
      <c r="A55" s="247" t="s">
        <v>1342</v>
      </c>
      <c r="B55" s="227"/>
      <c r="C55" s="228">
        <v>80304</v>
      </c>
      <c r="F55" s="115">
        <v>2008</v>
      </c>
      <c r="G55" s="12" t="s">
        <v>1148</v>
      </c>
      <c r="H55" s="12" t="s">
        <v>1343</v>
      </c>
      <c r="I55" s="12" t="s">
        <v>1187</v>
      </c>
      <c r="O55" s="34">
        <v>7000</v>
      </c>
      <c r="P55" t="s">
        <v>1416</v>
      </c>
      <c r="Q55" t="s">
        <v>1394</v>
      </c>
      <c r="R55" t="s">
        <v>1205</v>
      </c>
    </row>
    <row r="56" spans="1:18" ht="15.75" customHeight="1" x14ac:dyDescent="0.3">
      <c r="A56" s="247" t="s">
        <v>1186</v>
      </c>
      <c r="B56" s="227"/>
      <c r="C56" s="228">
        <v>146859</v>
      </c>
      <c r="F56">
        <v>2010</v>
      </c>
      <c r="G56" t="s">
        <v>96</v>
      </c>
      <c r="H56" t="s">
        <v>97</v>
      </c>
      <c r="I56" t="s">
        <v>1187</v>
      </c>
      <c r="J56" s="225">
        <v>7705</v>
      </c>
      <c r="L56" s="225">
        <v>40</v>
      </c>
      <c r="M56" s="223">
        <f>SUM(J56+K56+L56)</f>
        <v>7745</v>
      </c>
      <c r="N56" s="223"/>
      <c r="O56" s="223">
        <v>7000</v>
      </c>
      <c r="P56" t="s">
        <v>1416</v>
      </c>
      <c r="Q56" t="s">
        <v>1410</v>
      </c>
      <c r="R56" t="s">
        <v>1445</v>
      </c>
    </row>
    <row r="57" spans="1:18" ht="15.75" customHeight="1" x14ac:dyDescent="0.3">
      <c r="A57" s="247" t="s">
        <v>1353</v>
      </c>
      <c r="B57" s="227"/>
      <c r="C57" s="228">
        <v>31916</v>
      </c>
      <c r="F57" s="115">
        <v>2009</v>
      </c>
      <c r="G57" s="12" t="s">
        <v>1349</v>
      </c>
      <c r="H57" s="12" t="s">
        <v>1354</v>
      </c>
      <c r="I57" s="12" t="s">
        <v>1335</v>
      </c>
      <c r="J57" s="34">
        <v>15398.5</v>
      </c>
      <c r="L57" s="53">
        <v>2734.57</v>
      </c>
      <c r="M57" s="223">
        <f>SUM(J57+K57+L57)</f>
        <v>18133.07</v>
      </c>
      <c r="N57" s="223">
        <f>+M57+500</f>
        <v>18633.07</v>
      </c>
      <c r="O57" s="34">
        <v>12000</v>
      </c>
      <c r="P57" t="s">
        <v>320</v>
      </c>
      <c r="R57" t="s">
        <v>1458</v>
      </c>
    </row>
    <row r="58" spans="1:18" ht="15.75" customHeight="1" x14ac:dyDescent="0.3">
      <c r="A58" s="247" t="s">
        <v>1340</v>
      </c>
      <c r="B58" s="227"/>
      <c r="C58" s="228">
        <v>87062</v>
      </c>
      <c r="F58" s="115">
        <v>2013</v>
      </c>
      <c r="G58" s="12" t="s">
        <v>1148</v>
      </c>
      <c r="H58" s="12" t="s">
        <v>1217</v>
      </c>
      <c r="I58" s="12" t="s">
        <v>1341</v>
      </c>
      <c r="P58" t="s">
        <v>320</v>
      </c>
    </row>
    <row r="59" spans="1:18" ht="15.75" customHeight="1" x14ac:dyDescent="0.3">
      <c r="A59" s="418" t="s">
        <v>1176</v>
      </c>
      <c r="B59" s="208"/>
      <c r="C59" s="228"/>
      <c r="F59">
        <v>2007</v>
      </c>
      <c r="G59" t="s">
        <v>539</v>
      </c>
      <c r="H59" t="s">
        <v>1177</v>
      </c>
      <c r="J59" s="225">
        <v>17650</v>
      </c>
      <c r="K59" s="53">
        <v>402.5</v>
      </c>
      <c r="L59" s="225">
        <f>3000.35-K59</f>
        <v>2597.85</v>
      </c>
      <c r="M59" s="223">
        <f>SUM(J59+K59+L59)</f>
        <v>20650.349999999999</v>
      </c>
      <c r="N59" s="223"/>
      <c r="O59" s="223">
        <f>SUM(M59+500)</f>
        <v>21150.35</v>
      </c>
      <c r="P59" t="s">
        <v>1363</v>
      </c>
      <c r="R59" t="s">
        <v>1178</v>
      </c>
    </row>
    <row r="60" spans="1:18" ht="15.75" customHeight="1" x14ac:dyDescent="0.3"/>
    <row r="61" spans="1:18" ht="15.75" customHeight="1" x14ac:dyDescent="0.3"/>
    <row r="62" spans="1:18" ht="15.75" customHeight="1" x14ac:dyDescent="0.3"/>
    <row r="63" spans="1:18" ht="15.75" customHeight="1" x14ac:dyDescent="0.3"/>
    <row r="64" spans="1:18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</sheetData>
  <autoFilter ref="A1:R35" xr:uid="{DACEBB17-9260-422D-8F1E-DE3A0F456D1C}">
    <sortState xmlns:xlrd2="http://schemas.microsoft.com/office/spreadsheetml/2017/richdata2" ref="A2:R35">
      <sortCondition ref="P1:P35"/>
    </sortState>
  </autoFilter>
  <sortState xmlns:xlrd2="http://schemas.microsoft.com/office/spreadsheetml/2017/richdata2" ref="A2:R33">
    <sortCondition ref="G2:G33"/>
    <sortCondition ref="H2:H33"/>
    <sortCondition ref="I2:I33"/>
  </sortState>
  <hyperlinks>
    <hyperlink ref="A59" r:id="rId1" xr:uid="{FEBF4027-8061-4387-8A08-9932A58A18F1}"/>
    <hyperlink ref="A6" r:id="rId2" xr:uid="{C044BA55-89C5-4122-9735-12BE27EF6BA3}"/>
    <hyperlink ref="A7" r:id="rId3" xr:uid="{64213F2B-65E2-45C1-9184-3F4D963F73C0}"/>
    <hyperlink ref="A8" r:id="rId4" xr:uid="{C1FA870F-ECB6-41A9-AACA-1984AD61987C}"/>
    <hyperlink ref="A9" r:id="rId5" xr:uid="{17DB6B93-51A9-4B30-9EE5-AAB5162926F7}"/>
    <hyperlink ref="A10" r:id="rId6" xr:uid="{77572505-3805-4A8C-B1B1-FAF5CBE8E2A7}"/>
    <hyperlink ref="A11" r:id="rId7" xr:uid="{EECB9828-5B8B-48EE-889F-65837B52333D}"/>
    <hyperlink ref="A52" r:id="rId8" xr:uid="{9F920FBB-32E6-42B0-B903-38671C8A53A3}"/>
    <hyperlink ref="A12" r:id="rId9" xr:uid="{6E2FF952-BB84-4A8B-A574-5AA26091F101}"/>
    <hyperlink ref="A13" r:id="rId10" xr:uid="{23ABE179-8BAA-4A94-B02E-3D59258BF03F}"/>
    <hyperlink ref="A53" r:id="rId11" xr:uid="{8081A047-7699-439C-94BD-A287A2E4362E}"/>
    <hyperlink ref="A2" r:id="rId12" xr:uid="{FD6D118B-719D-4224-9C80-3DDBB32CD219}"/>
    <hyperlink ref="A3" r:id="rId13" xr:uid="{7704AAEB-BD7E-48CD-B3E4-552B9B78AAC8}"/>
    <hyperlink ref="A14" r:id="rId14" xr:uid="{61E113A0-2FFA-4BA5-B38A-8C74B8A2C176}"/>
    <hyperlink ref="A15" r:id="rId15" xr:uid="{8C7F1905-A13F-43A4-8147-F49B4F80CA07}"/>
    <hyperlink ref="A16" r:id="rId16" xr:uid="{1CF92C47-C6AA-48B0-9195-58E4E65F6C48}"/>
    <hyperlink ref="A17" r:id="rId17" xr:uid="{EF65AFC0-5A92-47B3-BFF8-047391384AA4}"/>
    <hyperlink ref="A19" r:id="rId18" xr:uid="{5EBBDE60-090E-428A-BEA8-662A1EDCCA4F}"/>
    <hyperlink ref="A20" r:id="rId19" xr:uid="{62295147-D650-4BF1-BC73-12C22467851D}"/>
    <hyperlink ref="A21" r:id="rId20" xr:uid="{3B0BC9B9-97B5-44AD-AF73-64DBE3BB5B16}"/>
    <hyperlink ref="A56" r:id="rId21" xr:uid="{6434030F-53F9-46A1-A249-A80651F1605B}"/>
    <hyperlink ref="A23" r:id="rId22" xr:uid="{5CB2D40E-EE60-4CD7-958A-73AD236FCCA3}"/>
    <hyperlink ref="A54" r:id="rId23" xr:uid="{548218C5-CB8A-43E6-A422-39C8E92D4000}"/>
    <hyperlink ref="A51" r:id="rId24" xr:uid="{E753FDF9-4E6E-4B2F-B5F8-72140580F585}"/>
    <hyperlink ref="A24" r:id="rId25" xr:uid="{4176098B-1609-4979-8E61-CDA29B5D62C6}"/>
    <hyperlink ref="A58" r:id="rId26" xr:uid="{EFFC4F30-0448-48BF-B891-C2193D80F265}"/>
    <hyperlink ref="A25" r:id="rId27" xr:uid="{D52DEBE1-61FA-4BA6-977B-DE3A033B5C1A}"/>
    <hyperlink ref="A55" r:id="rId28" xr:uid="{2D31BD8B-13F0-4BBC-BC0F-C871FE3D86DC}"/>
    <hyperlink ref="A50" r:id="rId29" xr:uid="{7504FC14-D6DA-4BF6-90E5-1A9C642A20C3}"/>
    <hyperlink ref="A28" r:id="rId30" xr:uid="{2CD025E1-C72B-4783-9008-54E3F620DEC4}"/>
    <hyperlink ref="A29" r:id="rId31" xr:uid="{C9572EC5-E660-40E6-B69C-E182A5045130}"/>
    <hyperlink ref="A57" r:id="rId32" xr:uid="{FC3399AA-2359-4CCA-944B-1E93C4EB8A9F}"/>
    <hyperlink ref="A33" r:id="rId33" xr:uid="{60839976-A756-4F93-B363-2259B53C5986}"/>
    <hyperlink ref="A30" r:id="rId34" xr:uid="{EADBC091-13AF-4BC6-868C-38D3322B97D0}"/>
    <hyperlink ref="A31" r:id="rId35" xr:uid="{F9BAF2AD-4A01-409A-97C7-472289EF4120}"/>
    <hyperlink ref="A45" r:id="rId36" xr:uid="{412AEF85-18CF-45E7-B9C4-239E7C37A9AD}"/>
    <hyperlink ref="A32" r:id="rId37" xr:uid="{2DE3AAFF-B688-4DC9-9416-939414EEA3AF}"/>
    <hyperlink ref="A47" r:id="rId38" xr:uid="{E4352D19-A127-4DFE-A864-643200C088A2}"/>
  </hyperlinks>
  <pageMargins left="0.7" right="0.7" top="0.75" bottom="0.75" header="0.3" footer="0.3"/>
  <pageSetup paperSize="9" orientation="portrait" horizontalDpi="4294967293" verticalDpi="360" r:id="rId3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69F0B-A24B-40CD-8C90-6F99EE4B6DA0}">
  <dimension ref="A1:P222"/>
  <sheetViews>
    <sheetView topLeftCell="A183" workbookViewId="0">
      <selection activeCell="A194" sqref="A194"/>
    </sheetView>
  </sheetViews>
  <sheetFormatPr defaultRowHeight="14.4" x14ac:dyDescent="0.3"/>
  <cols>
    <col min="1" max="1" width="22" bestFit="1" customWidth="1"/>
    <col min="2" max="2" width="8.6640625" hidden="1" customWidth="1"/>
    <col min="3" max="3" width="13.33203125" hidden="1" customWidth="1"/>
    <col min="4" max="4" width="6.44140625" customWidth="1"/>
    <col min="5" max="5" width="16.6640625" bestFit="1" customWidth="1"/>
    <col min="6" max="6" width="24.6640625" bestFit="1" customWidth="1"/>
    <col min="7" max="7" width="10.44140625" bestFit="1" customWidth="1"/>
    <col min="8" max="8" width="5.33203125" bestFit="1" customWidth="1"/>
    <col min="9" max="9" width="13.109375" bestFit="1" customWidth="1"/>
    <col min="10" max="10" width="5.6640625" bestFit="1" customWidth="1"/>
    <col min="11" max="11" width="8.77734375" bestFit="1" customWidth="1"/>
    <col min="12" max="12" width="5.21875" bestFit="1" customWidth="1"/>
    <col min="13" max="13" width="12.5546875" customWidth="1"/>
    <col min="14" max="14" width="15.88671875" customWidth="1"/>
    <col min="15" max="15" width="20.33203125" customWidth="1"/>
    <col min="16" max="16" width="13" customWidth="1"/>
  </cols>
  <sheetData>
    <row r="1" spans="1:16" ht="15" thickBot="1" x14ac:dyDescent="0.35">
      <c r="A1" s="75" t="s">
        <v>1</v>
      </c>
      <c r="B1" s="347" t="s">
        <v>1461</v>
      </c>
      <c r="C1" s="76" t="s">
        <v>4</v>
      </c>
      <c r="D1" s="77" t="s">
        <v>5</v>
      </c>
      <c r="E1" s="77" t="s">
        <v>6</v>
      </c>
      <c r="F1" s="77" t="s">
        <v>7</v>
      </c>
      <c r="G1" s="76" t="s">
        <v>845</v>
      </c>
      <c r="H1" s="76" t="s">
        <v>846</v>
      </c>
      <c r="I1" s="76" t="s">
        <v>847</v>
      </c>
      <c r="J1" s="76" t="s">
        <v>848</v>
      </c>
      <c r="K1" s="76" t="s">
        <v>849</v>
      </c>
      <c r="L1" s="76" t="s">
        <v>1136</v>
      </c>
      <c r="M1" s="76" t="s">
        <v>1152</v>
      </c>
      <c r="N1" s="76" t="s">
        <v>295</v>
      </c>
      <c r="O1" s="76" t="s">
        <v>850</v>
      </c>
      <c r="P1" s="76" t="s">
        <v>294</v>
      </c>
    </row>
    <row r="2" spans="1:16" ht="15" thickBot="1" x14ac:dyDescent="0.35">
      <c r="A2" s="78" t="s">
        <v>20</v>
      </c>
      <c r="B2" s="96"/>
      <c r="C2" s="79" t="s">
        <v>851</v>
      </c>
      <c r="D2" s="80">
        <v>2009</v>
      </c>
      <c r="E2" s="81" t="s">
        <v>21</v>
      </c>
      <c r="F2" s="81" t="s">
        <v>22</v>
      </c>
      <c r="G2" s="82">
        <v>10682.81</v>
      </c>
      <c r="H2" s="83" t="s">
        <v>852</v>
      </c>
      <c r="I2" s="111" t="s">
        <v>853</v>
      </c>
      <c r="J2" s="79"/>
      <c r="N2" s="83" t="s">
        <v>323</v>
      </c>
      <c r="O2" s="105"/>
    </row>
    <row r="3" spans="1:16" ht="15" thickBot="1" x14ac:dyDescent="0.35">
      <c r="A3" s="78" t="s">
        <v>23</v>
      </c>
      <c r="B3" s="96"/>
      <c r="C3" s="79" t="s">
        <v>854</v>
      </c>
      <c r="D3" s="80">
        <v>2010</v>
      </c>
      <c r="E3" s="81" t="s">
        <v>21</v>
      </c>
      <c r="F3" s="81" t="s">
        <v>25</v>
      </c>
      <c r="G3" s="82">
        <v>14205.99</v>
      </c>
      <c r="H3" s="83" t="s">
        <v>855</v>
      </c>
      <c r="I3" s="106" t="s">
        <v>856</v>
      </c>
      <c r="J3" s="79"/>
      <c r="M3" t="s">
        <v>856</v>
      </c>
      <c r="N3" s="83" t="s">
        <v>320</v>
      </c>
      <c r="O3" s="106" t="s">
        <v>857</v>
      </c>
    </row>
    <row r="4" spans="1:16" ht="15" thickBot="1" x14ac:dyDescent="0.35">
      <c r="A4" s="78" t="s">
        <v>31</v>
      </c>
      <c r="B4" s="96"/>
      <c r="C4" s="79" t="s">
        <v>858</v>
      </c>
      <c r="D4" s="80">
        <v>2010</v>
      </c>
      <c r="E4" s="81" t="s">
        <v>33</v>
      </c>
      <c r="F4" s="81" t="s">
        <v>34</v>
      </c>
      <c r="G4" s="82">
        <v>16581.75</v>
      </c>
      <c r="H4" s="83" t="s">
        <v>859</v>
      </c>
      <c r="I4" s="106" t="s">
        <v>860</v>
      </c>
      <c r="J4" s="79"/>
      <c r="N4" s="83" t="s">
        <v>323</v>
      </c>
      <c r="O4" s="105"/>
    </row>
    <row r="5" spans="1:16" ht="15" thickBot="1" x14ac:dyDescent="0.35">
      <c r="A5" s="78" t="s">
        <v>39</v>
      </c>
      <c r="B5" s="96"/>
      <c r="C5" s="79" t="s">
        <v>861</v>
      </c>
      <c r="D5" s="80">
        <v>2012</v>
      </c>
      <c r="E5" s="81" t="s">
        <v>16</v>
      </c>
      <c r="F5" s="81" t="s">
        <v>41</v>
      </c>
      <c r="G5" s="82">
        <v>9114.67</v>
      </c>
      <c r="H5" s="83" t="s">
        <v>862</v>
      </c>
      <c r="I5" s="106" t="s">
        <v>863</v>
      </c>
      <c r="J5" s="79"/>
      <c r="N5" s="83" t="s">
        <v>323</v>
      </c>
      <c r="O5" s="105"/>
    </row>
    <row r="6" spans="1:16" ht="15" thickBot="1" x14ac:dyDescent="0.35">
      <c r="A6" s="78" t="s">
        <v>47</v>
      </c>
      <c r="B6" s="96"/>
      <c r="C6" s="79" t="s">
        <v>864</v>
      </c>
      <c r="D6" s="80">
        <v>2010</v>
      </c>
      <c r="E6" s="81" t="s">
        <v>49</v>
      </c>
      <c r="F6" s="81" t="s">
        <v>50</v>
      </c>
      <c r="G6" s="82">
        <v>12306.01</v>
      </c>
      <c r="H6" s="83" t="s">
        <v>855</v>
      </c>
      <c r="I6" s="106" t="s">
        <v>865</v>
      </c>
      <c r="J6" s="79"/>
      <c r="M6" t="s">
        <v>865</v>
      </c>
      <c r="N6" s="83" t="s">
        <v>320</v>
      </c>
      <c r="O6" s="106" t="s">
        <v>857</v>
      </c>
    </row>
    <row r="7" spans="1:16" ht="15" thickBot="1" x14ac:dyDescent="0.35">
      <c r="A7" s="78" t="s">
        <v>53</v>
      </c>
      <c r="B7" s="96"/>
      <c r="C7" s="79" t="s">
        <v>866</v>
      </c>
      <c r="D7" s="80">
        <v>2005</v>
      </c>
      <c r="E7" s="81" t="s">
        <v>37</v>
      </c>
      <c r="F7" s="81" t="s">
        <v>54</v>
      </c>
      <c r="G7" s="82">
        <v>12766.33</v>
      </c>
      <c r="H7" s="83" t="s">
        <v>859</v>
      </c>
      <c r="I7" s="106" t="s">
        <v>867</v>
      </c>
      <c r="J7" s="79"/>
      <c r="N7" s="83" t="s">
        <v>323</v>
      </c>
      <c r="O7" s="105"/>
    </row>
    <row r="8" spans="1:16" ht="15" thickBot="1" x14ac:dyDescent="0.35">
      <c r="A8" s="78" t="s">
        <v>58</v>
      </c>
      <c r="B8" s="96"/>
      <c r="C8" s="79" t="s">
        <v>868</v>
      </c>
      <c r="D8" s="80">
        <v>2007</v>
      </c>
      <c r="E8" s="81" t="s">
        <v>49</v>
      </c>
      <c r="F8" s="81" t="s">
        <v>60</v>
      </c>
      <c r="G8" s="82">
        <v>9476.5400000000009</v>
      </c>
      <c r="H8" s="83" t="s">
        <v>869</v>
      </c>
      <c r="I8" s="106" t="s">
        <v>870</v>
      </c>
      <c r="J8" s="79"/>
      <c r="M8" t="s">
        <v>870</v>
      </c>
      <c r="N8" s="83" t="s">
        <v>871</v>
      </c>
      <c r="O8" s="106" t="s">
        <v>857</v>
      </c>
    </row>
    <row r="9" spans="1:16" ht="15" thickBot="1" x14ac:dyDescent="0.35">
      <c r="A9" s="78" t="s">
        <v>65</v>
      </c>
      <c r="B9" s="96"/>
      <c r="C9" s="79" t="s">
        <v>872</v>
      </c>
      <c r="D9" s="80">
        <v>2010</v>
      </c>
      <c r="E9" s="81" t="s">
        <v>21</v>
      </c>
      <c r="F9" s="81" t="s">
        <v>66</v>
      </c>
      <c r="G9" s="82">
        <v>13009.75</v>
      </c>
      <c r="H9" s="83" t="s">
        <v>855</v>
      </c>
      <c r="I9" s="106" t="s">
        <v>865</v>
      </c>
      <c r="J9" s="79"/>
      <c r="N9" s="83" t="s">
        <v>323</v>
      </c>
      <c r="O9" s="105"/>
    </row>
    <row r="10" spans="1:16" ht="15" thickBot="1" x14ac:dyDescent="0.35">
      <c r="A10" s="78" t="s">
        <v>80</v>
      </c>
      <c r="B10" s="96"/>
      <c r="C10" s="79" t="s">
        <v>873</v>
      </c>
      <c r="D10" s="80">
        <v>2010</v>
      </c>
      <c r="E10" s="81" t="s">
        <v>16</v>
      </c>
      <c r="F10" s="81" t="s">
        <v>17</v>
      </c>
      <c r="G10" s="82">
        <v>9997.77</v>
      </c>
      <c r="H10" s="83" t="s">
        <v>855</v>
      </c>
      <c r="I10" s="106" t="s">
        <v>859</v>
      </c>
      <c r="J10" s="79"/>
      <c r="N10" s="83" t="s">
        <v>323</v>
      </c>
      <c r="O10" s="105"/>
    </row>
    <row r="11" spans="1:16" ht="15" thickBot="1" x14ac:dyDescent="0.35">
      <c r="A11" s="78" t="s">
        <v>87</v>
      </c>
      <c r="B11" s="96"/>
      <c r="C11" s="79" t="s">
        <v>874</v>
      </c>
      <c r="D11" s="80">
        <v>2010</v>
      </c>
      <c r="E11" s="81" t="s">
        <v>21</v>
      </c>
      <c r="F11" s="81" t="s">
        <v>89</v>
      </c>
      <c r="G11" s="82">
        <v>30311.119999999999</v>
      </c>
      <c r="H11" s="83" t="s">
        <v>875</v>
      </c>
      <c r="I11" s="106"/>
      <c r="J11" s="79"/>
      <c r="N11" s="83" t="s">
        <v>323</v>
      </c>
      <c r="O11" s="107"/>
    </row>
    <row r="12" spans="1:16" ht="15" thickBot="1" x14ac:dyDescent="0.35">
      <c r="A12" s="78" t="s">
        <v>90</v>
      </c>
      <c r="B12" s="96"/>
      <c r="C12" s="79" t="s">
        <v>876</v>
      </c>
      <c r="D12" s="80">
        <v>2014</v>
      </c>
      <c r="E12" s="81" t="s">
        <v>37</v>
      </c>
      <c r="F12" s="81" t="s">
        <v>91</v>
      </c>
      <c r="G12" s="82">
        <v>26421.55</v>
      </c>
      <c r="H12" s="83" t="s">
        <v>877</v>
      </c>
      <c r="I12" s="106" t="s">
        <v>878</v>
      </c>
      <c r="J12" s="79"/>
      <c r="N12" s="83" t="s">
        <v>879</v>
      </c>
      <c r="O12" s="105"/>
    </row>
    <row r="13" spans="1:16" ht="15" thickBot="1" x14ac:dyDescent="0.35">
      <c r="A13" s="78" t="s">
        <v>92</v>
      </c>
      <c r="B13" s="96"/>
      <c r="C13" s="79" t="s">
        <v>880</v>
      </c>
      <c r="D13" s="80">
        <v>2013</v>
      </c>
      <c r="E13" s="81" t="s">
        <v>37</v>
      </c>
      <c r="F13" s="81" t="s">
        <v>63</v>
      </c>
      <c r="G13" s="82">
        <v>17576.96</v>
      </c>
      <c r="H13" s="83" t="s">
        <v>881</v>
      </c>
      <c r="I13" s="106" t="s">
        <v>853</v>
      </c>
      <c r="J13" s="79"/>
      <c r="N13" s="83" t="s">
        <v>323</v>
      </c>
      <c r="O13" s="105"/>
    </row>
    <row r="14" spans="1:16" ht="15" thickBot="1" x14ac:dyDescent="0.35">
      <c r="A14" s="78" t="s">
        <v>99</v>
      </c>
      <c r="B14" s="96"/>
      <c r="C14" s="79" t="s">
        <v>882</v>
      </c>
      <c r="D14" s="80">
        <v>2008</v>
      </c>
      <c r="E14" s="81" t="s">
        <v>96</v>
      </c>
      <c r="F14" s="81" t="s">
        <v>100</v>
      </c>
      <c r="G14" s="82">
        <v>9770.75</v>
      </c>
      <c r="H14" s="83" t="s">
        <v>883</v>
      </c>
      <c r="I14" s="106" t="s">
        <v>870</v>
      </c>
      <c r="J14" s="79"/>
      <c r="N14" s="83" t="s">
        <v>320</v>
      </c>
      <c r="O14" s="108" t="s">
        <v>857</v>
      </c>
    </row>
    <row r="15" spans="1:16" ht="15" thickBot="1" x14ac:dyDescent="0.35">
      <c r="A15" s="78" t="s">
        <v>106</v>
      </c>
      <c r="B15" s="96"/>
      <c r="C15" s="79" t="s">
        <v>884</v>
      </c>
      <c r="D15" s="80">
        <v>2006</v>
      </c>
      <c r="E15" s="81" t="s">
        <v>77</v>
      </c>
      <c r="F15" s="81" t="s">
        <v>107</v>
      </c>
      <c r="G15" s="82">
        <v>9920.7099999999991</v>
      </c>
      <c r="H15" s="83" t="s">
        <v>885</v>
      </c>
      <c r="I15" s="106" t="s">
        <v>867</v>
      </c>
      <c r="J15" s="79"/>
      <c r="M15" t="s">
        <v>867</v>
      </c>
      <c r="N15" s="83" t="s">
        <v>320</v>
      </c>
      <c r="O15" s="106" t="s">
        <v>857</v>
      </c>
    </row>
    <row r="16" spans="1:16" ht="15" thickBot="1" x14ac:dyDescent="0.35">
      <c r="A16" s="78" t="s">
        <v>108</v>
      </c>
      <c r="B16" s="96"/>
      <c r="C16" s="79" t="s">
        <v>886</v>
      </c>
      <c r="D16" s="80">
        <v>2011</v>
      </c>
      <c r="E16" s="81" t="s">
        <v>21</v>
      </c>
      <c r="F16" s="81" t="s">
        <v>109</v>
      </c>
      <c r="G16" s="82">
        <v>13535.46</v>
      </c>
      <c r="H16" s="79" t="s">
        <v>887</v>
      </c>
      <c r="I16" s="106" t="s">
        <v>860</v>
      </c>
      <c r="J16" s="79"/>
      <c r="N16" s="83" t="s">
        <v>320</v>
      </c>
      <c r="O16" s="106" t="s">
        <v>857</v>
      </c>
    </row>
    <row r="17" spans="1:15" ht="15" thickBot="1" x14ac:dyDescent="0.35">
      <c r="A17" s="78" t="s">
        <v>114</v>
      </c>
      <c r="B17" s="96"/>
      <c r="C17" s="79" t="s">
        <v>888</v>
      </c>
      <c r="D17" s="80">
        <v>2011</v>
      </c>
      <c r="E17" s="81" t="s">
        <v>16</v>
      </c>
      <c r="F17" s="81" t="s">
        <v>17</v>
      </c>
      <c r="G17" s="82">
        <v>9788.49</v>
      </c>
      <c r="H17" s="79" t="s">
        <v>862</v>
      </c>
      <c r="I17" s="106" t="s">
        <v>889</v>
      </c>
      <c r="J17" s="79"/>
      <c r="M17" t="s">
        <v>889</v>
      </c>
      <c r="N17" s="83" t="s">
        <v>320</v>
      </c>
      <c r="O17" s="106" t="s">
        <v>857</v>
      </c>
    </row>
    <row r="18" spans="1:15" ht="15" thickBot="1" x14ac:dyDescent="0.35">
      <c r="A18" s="78" t="s">
        <v>117</v>
      </c>
      <c r="B18" s="96"/>
      <c r="C18" s="79" t="s">
        <v>890</v>
      </c>
      <c r="D18" s="80">
        <v>2014</v>
      </c>
      <c r="E18" s="81" t="s">
        <v>77</v>
      </c>
      <c r="F18" s="81" t="s">
        <v>82</v>
      </c>
      <c r="G18" s="82">
        <v>14998.1</v>
      </c>
      <c r="H18" s="79" t="s">
        <v>891</v>
      </c>
      <c r="I18" s="106" t="s">
        <v>853</v>
      </c>
      <c r="J18" s="79"/>
      <c r="N18" s="83" t="s">
        <v>320</v>
      </c>
      <c r="O18" s="106" t="s">
        <v>857</v>
      </c>
    </row>
    <row r="19" spans="1:15" ht="15" thickBot="1" x14ac:dyDescent="0.35">
      <c r="A19" s="78" t="s">
        <v>118</v>
      </c>
      <c r="B19" s="96"/>
      <c r="C19" s="79" t="s">
        <v>892</v>
      </c>
      <c r="D19" s="80">
        <v>2008</v>
      </c>
      <c r="E19" s="81" t="s">
        <v>49</v>
      </c>
      <c r="F19" s="81" t="s">
        <v>119</v>
      </c>
      <c r="G19" s="82">
        <v>8644.34</v>
      </c>
      <c r="H19" s="83" t="s">
        <v>859</v>
      </c>
      <c r="I19" s="106" t="s">
        <v>893</v>
      </c>
      <c r="J19" s="79"/>
      <c r="M19" t="s">
        <v>893</v>
      </c>
      <c r="N19" s="83" t="s">
        <v>320</v>
      </c>
      <c r="O19" s="106" t="s">
        <v>857</v>
      </c>
    </row>
    <row r="20" spans="1:15" ht="15" thickBot="1" x14ac:dyDescent="0.35">
      <c r="A20" s="85" t="s">
        <v>120</v>
      </c>
      <c r="B20" s="348"/>
      <c r="C20" s="79" t="s">
        <v>894</v>
      </c>
      <c r="D20" s="80">
        <v>2013</v>
      </c>
      <c r="E20" s="81" t="s">
        <v>49</v>
      </c>
      <c r="F20" s="81" t="s">
        <v>119</v>
      </c>
      <c r="G20" s="82">
        <v>10999.14</v>
      </c>
      <c r="H20" s="83" t="s">
        <v>862</v>
      </c>
      <c r="I20" s="106" t="s">
        <v>895</v>
      </c>
      <c r="J20" s="79"/>
      <c r="M20" t="s">
        <v>895</v>
      </c>
      <c r="N20" s="83" t="s">
        <v>320</v>
      </c>
      <c r="O20" s="106" t="s">
        <v>857</v>
      </c>
    </row>
    <row r="21" spans="1:15" ht="15" thickBot="1" x14ac:dyDescent="0.35">
      <c r="A21" s="78" t="s">
        <v>122</v>
      </c>
      <c r="B21" s="96"/>
      <c r="C21" s="79" t="s">
        <v>896</v>
      </c>
      <c r="D21" s="80">
        <v>2011</v>
      </c>
      <c r="E21" s="81" t="s">
        <v>123</v>
      </c>
      <c r="F21" s="81" t="s">
        <v>124</v>
      </c>
      <c r="G21" s="82">
        <v>12503</v>
      </c>
      <c r="H21" s="79" t="s">
        <v>891</v>
      </c>
      <c r="I21" s="106" t="s">
        <v>856</v>
      </c>
      <c r="J21" s="79"/>
      <c r="N21" s="83" t="s">
        <v>320</v>
      </c>
      <c r="O21" s="106" t="s">
        <v>857</v>
      </c>
    </row>
    <row r="22" spans="1:15" ht="15" thickBot="1" x14ac:dyDescent="0.35">
      <c r="A22" s="78" t="s">
        <v>126</v>
      </c>
      <c r="B22" s="96"/>
      <c r="C22" s="79" t="s">
        <v>897</v>
      </c>
      <c r="D22" s="80">
        <v>2013</v>
      </c>
      <c r="E22" s="81" t="s">
        <v>21</v>
      </c>
      <c r="F22" s="81" t="s">
        <v>127</v>
      </c>
      <c r="G22" s="82">
        <v>17487.75</v>
      </c>
      <c r="H22" s="83" t="s">
        <v>887</v>
      </c>
      <c r="I22" s="106" t="s">
        <v>878</v>
      </c>
      <c r="J22" s="79"/>
      <c r="M22" t="s">
        <v>904</v>
      </c>
      <c r="N22" s="83" t="s">
        <v>320</v>
      </c>
      <c r="O22" s="108" t="s">
        <v>857</v>
      </c>
    </row>
    <row r="23" spans="1:15" ht="15" thickBot="1" x14ac:dyDescent="0.35">
      <c r="A23" s="78" t="s">
        <v>129</v>
      </c>
      <c r="B23" s="96"/>
      <c r="C23" s="79" t="s">
        <v>898</v>
      </c>
      <c r="D23" s="80">
        <v>2010</v>
      </c>
      <c r="E23" s="81" t="s">
        <v>21</v>
      </c>
      <c r="F23" s="81" t="s">
        <v>127</v>
      </c>
      <c r="G23" s="82">
        <v>11444.35</v>
      </c>
      <c r="H23" s="83" t="s">
        <v>859</v>
      </c>
      <c r="I23" s="106" t="s">
        <v>895</v>
      </c>
      <c r="J23" s="79"/>
      <c r="M23" t="s">
        <v>895</v>
      </c>
      <c r="N23" s="83" t="s">
        <v>320</v>
      </c>
      <c r="O23" s="106" t="s">
        <v>857</v>
      </c>
    </row>
    <row r="24" spans="1:15" ht="15" thickBot="1" x14ac:dyDescent="0.35">
      <c r="A24" s="78" t="s">
        <v>130</v>
      </c>
      <c r="B24" s="96"/>
      <c r="C24" s="79" t="s">
        <v>899</v>
      </c>
      <c r="D24" s="80">
        <v>2007</v>
      </c>
      <c r="E24" s="81" t="s">
        <v>21</v>
      </c>
      <c r="F24" s="81" t="s">
        <v>131</v>
      </c>
      <c r="G24" s="82">
        <v>7958.87</v>
      </c>
      <c r="H24" s="79" t="s">
        <v>869</v>
      </c>
      <c r="I24" s="106" t="s">
        <v>856</v>
      </c>
      <c r="J24" s="79"/>
      <c r="M24" t="s">
        <v>856</v>
      </c>
      <c r="N24" s="83" t="s">
        <v>320</v>
      </c>
      <c r="O24" s="106" t="s">
        <v>857</v>
      </c>
    </row>
    <row r="25" spans="1:15" ht="15" thickBot="1" x14ac:dyDescent="0.35">
      <c r="A25" s="78" t="s">
        <v>135</v>
      </c>
      <c r="B25" s="96"/>
      <c r="C25" s="79" t="s">
        <v>900</v>
      </c>
      <c r="D25" s="80">
        <v>2012</v>
      </c>
      <c r="E25" s="81" t="s">
        <v>16</v>
      </c>
      <c r="F25" s="81" t="s">
        <v>41</v>
      </c>
      <c r="G25" s="82">
        <v>10731.45</v>
      </c>
      <c r="H25" s="83" t="s">
        <v>855</v>
      </c>
      <c r="I25" s="106" t="s">
        <v>901</v>
      </c>
      <c r="J25" s="79"/>
      <c r="M25" t="s">
        <v>901</v>
      </c>
      <c r="N25" s="83" t="s">
        <v>320</v>
      </c>
      <c r="O25" s="106" t="s">
        <v>857</v>
      </c>
    </row>
    <row r="26" spans="1:15" ht="15" thickBot="1" x14ac:dyDescent="0.35">
      <c r="A26" s="85" t="s">
        <v>144</v>
      </c>
      <c r="B26" s="348"/>
      <c r="C26" s="79" t="s">
        <v>902</v>
      </c>
      <c r="D26" s="80">
        <v>2012</v>
      </c>
      <c r="E26" s="81" t="s">
        <v>49</v>
      </c>
      <c r="F26" s="81" t="s">
        <v>119</v>
      </c>
      <c r="G26" s="82">
        <v>8014</v>
      </c>
      <c r="H26" s="79" t="s">
        <v>862</v>
      </c>
      <c r="I26" s="106" t="s">
        <v>889</v>
      </c>
      <c r="J26" s="79"/>
      <c r="M26" t="s">
        <v>889</v>
      </c>
      <c r="N26" s="83" t="s">
        <v>320</v>
      </c>
      <c r="O26" s="106" t="s">
        <v>857</v>
      </c>
    </row>
    <row r="27" spans="1:15" ht="15" thickBot="1" x14ac:dyDescent="0.35">
      <c r="A27" s="78" t="s">
        <v>145</v>
      </c>
      <c r="B27" s="96"/>
      <c r="C27" s="79" t="s">
        <v>903</v>
      </c>
      <c r="D27" s="80">
        <v>2013</v>
      </c>
      <c r="E27" s="81" t="s">
        <v>21</v>
      </c>
      <c r="F27" s="81" t="s">
        <v>127</v>
      </c>
      <c r="G27" s="82">
        <v>13705.75</v>
      </c>
      <c r="H27" s="79" t="s">
        <v>887</v>
      </c>
      <c r="I27" s="106" t="s">
        <v>904</v>
      </c>
      <c r="J27" s="79"/>
      <c r="M27" t="s">
        <v>938</v>
      </c>
      <c r="N27" s="83" t="s">
        <v>320</v>
      </c>
      <c r="O27" s="106" t="s">
        <v>857</v>
      </c>
    </row>
    <row r="28" spans="1:15" ht="15" thickBot="1" x14ac:dyDescent="0.35">
      <c r="A28" s="78" t="s">
        <v>147</v>
      </c>
      <c r="B28" s="96"/>
      <c r="C28" s="79" t="s">
        <v>905</v>
      </c>
      <c r="D28" s="80">
        <v>2009</v>
      </c>
      <c r="E28" s="81" t="s">
        <v>37</v>
      </c>
      <c r="F28" s="81" t="s">
        <v>38</v>
      </c>
      <c r="G28" s="82">
        <v>9417.3700000000008</v>
      </c>
      <c r="H28" s="83" t="s">
        <v>887</v>
      </c>
      <c r="I28" s="106" t="s">
        <v>860</v>
      </c>
      <c r="J28" s="79"/>
      <c r="M28" t="s">
        <v>860</v>
      </c>
      <c r="N28" s="83" t="s">
        <v>320</v>
      </c>
      <c r="O28" s="106" t="s">
        <v>857</v>
      </c>
    </row>
    <row r="29" spans="1:15" ht="15" thickBot="1" x14ac:dyDescent="0.35">
      <c r="A29" s="78" t="s">
        <v>166</v>
      </c>
      <c r="B29" s="96"/>
      <c r="C29" s="79" t="s">
        <v>906</v>
      </c>
      <c r="D29" s="80">
        <v>2016</v>
      </c>
      <c r="E29" s="81" t="s">
        <v>77</v>
      </c>
      <c r="F29" s="81" t="s">
        <v>168</v>
      </c>
      <c r="G29" s="82">
        <v>20899.349999999999</v>
      </c>
      <c r="H29" s="83" t="s">
        <v>907</v>
      </c>
      <c r="I29" s="106" t="s">
        <v>904</v>
      </c>
      <c r="J29" s="79"/>
      <c r="M29" t="s">
        <v>904</v>
      </c>
      <c r="N29" s="83" t="s">
        <v>320</v>
      </c>
      <c r="O29" s="106" t="s">
        <v>857</v>
      </c>
    </row>
    <row r="30" spans="1:15" ht="15" thickBot="1" x14ac:dyDescent="0.35">
      <c r="A30" s="78" t="s">
        <v>169</v>
      </c>
      <c r="B30" s="96"/>
      <c r="C30" s="79" t="s">
        <v>908</v>
      </c>
      <c r="D30" s="80">
        <v>2013</v>
      </c>
      <c r="E30" s="81" t="s">
        <v>77</v>
      </c>
      <c r="F30" s="81" t="s">
        <v>82</v>
      </c>
      <c r="G30" s="82">
        <v>13318.5</v>
      </c>
      <c r="H30" s="79" t="s">
        <v>891</v>
      </c>
      <c r="I30" s="106" t="s">
        <v>909</v>
      </c>
      <c r="J30" s="79"/>
      <c r="N30" s="83" t="s">
        <v>320</v>
      </c>
      <c r="O30" s="106" t="s">
        <v>857</v>
      </c>
    </row>
    <row r="31" spans="1:15" ht="15" thickBot="1" x14ac:dyDescent="0.35">
      <c r="A31" s="78" t="s">
        <v>184</v>
      </c>
      <c r="B31" s="96"/>
      <c r="C31" s="79" t="s">
        <v>910</v>
      </c>
      <c r="D31" s="80">
        <v>2013</v>
      </c>
      <c r="E31" s="81" t="s">
        <v>77</v>
      </c>
      <c r="F31" s="81" t="s">
        <v>138</v>
      </c>
      <c r="G31" s="82">
        <v>14073.05</v>
      </c>
      <c r="H31" s="83" t="s">
        <v>887</v>
      </c>
      <c r="I31" s="106">
        <v>15.5</v>
      </c>
      <c r="J31" s="79"/>
      <c r="M31" t="s">
        <v>938</v>
      </c>
      <c r="N31" s="83" t="s">
        <v>320</v>
      </c>
      <c r="O31" s="108" t="s">
        <v>857</v>
      </c>
    </row>
    <row r="32" spans="1:15" ht="15" thickBot="1" x14ac:dyDescent="0.35">
      <c r="A32" s="78" t="s">
        <v>185</v>
      </c>
      <c r="B32" s="96"/>
      <c r="C32" s="79" t="s">
        <v>911</v>
      </c>
      <c r="D32" s="80">
        <v>2013</v>
      </c>
      <c r="E32" s="81" t="s">
        <v>77</v>
      </c>
      <c r="F32" s="81" t="s">
        <v>138</v>
      </c>
      <c r="G32" s="82">
        <v>15588.36</v>
      </c>
      <c r="H32" s="79" t="s">
        <v>883</v>
      </c>
      <c r="I32" s="106" t="s">
        <v>912</v>
      </c>
      <c r="J32" s="79"/>
      <c r="M32" t="s">
        <v>912</v>
      </c>
      <c r="N32" s="83" t="s">
        <v>320</v>
      </c>
      <c r="O32" s="106" t="s">
        <v>857</v>
      </c>
    </row>
    <row r="33" spans="1:15" ht="15" thickBot="1" x14ac:dyDescent="0.35">
      <c r="A33" s="85" t="s">
        <v>186</v>
      </c>
      <c r="B33" s="348"/>
      <c r="C33" s="79" t="s">
        <v>913</v>
      </c>
      <c r="D33" s="80">
        <v>2008</v>
      </c>
      <c r="E33" s="81" t="s">
        <v>96</v>
      </c>
      <c r="F33" s="81" t="s">
        <v>97</v>
      </c>
      <c r="G33" s="82">
        <v>8434.56</v>
      </c>
      <c r="H33" s="83" t="s">
        <v>914</v>
      </c>
      <c r="I33" s="106" t="s">
        <v>863</v>
      </c>
      <c r="J33" s="79"/>
      <c r="M33" t="s">
        <v>863</v>
      </c>
      <c r="N33" s="83" t="s">
        <v>320</v>
      </c>
      <c r="O33" s="106" t="s">
        <v>857</v>
      </c>
    </row>
    <row r="34" spans="1:15" ht="15" thickBot="1" x14ac:dyDescent="0.35">
      <c r="A34" s="78" t="s">
        <v>190</v>
      </c>
      <c r="B34" s="96"/>
      <c r="C34" s="79" t="s">
        <v>915</v>
      </c>
      <c r="D34" s="80">
        <v>2008</v>
      </c>
      <c r="E34" s="81" t="s">
        <v>49</v>
      </c>
      <c r="F34" s="81" t="s">
        <v>52</v>
      </c>
      <c r="G34" s="82">
        <v>10734</v>
      </c>
      <c r="H34" s="83" t="s">
        <v>855</v>
      </c>
      <c r="I34" s="106" t="s">
        <v>865</v>
      </c>
      <c r="J34" s="79"/>
      <c r="M34" t="s">
        <v>865</v>
      </c>
      <c r="N34" s="83" t="s">
        <v>320</v>
      </c>
      <c r="O34" s="106" t="s">
        <v>857</v>
      </c>
    </row>
    <row r="35" spans="1:15" ht="15" thickBot="1" x14ac:dyDescent="0.35">
      <c r="A35" s="78" t="s">
        <v>194</v>
      </c>
      <c r="B35" s="96"/>
      <c r="C35" s="79" t="s">
        <v>916</v>
      </c>
      <c r="D35" s="80">
        <v>2011</v>
      </c>
      <c r="E35" s="81" t="s">
        <v>143</v>
      </c>
      <c r="F35" s="81" t="s">
        <v>195</v>
      </c>
      <c r="G35" s="82">
        <v>6977.71</v>
      </c>
      <c r="H35" s="79" t="s">
        <v>859</v>
      </c>
      <c r="I35" s="106">
        <v>7.5</v>
      </c>
      <c r="J35" s="79"/>
      <c r="M35" t="s">
        <v>901</v>
      </c>
      <c r="N35" s="83" t="s">
        <v>320</v>
      </c>
      <c r="O35" s="108" t="s">
        <v>857</v>
      </c>
    </row>
    <row r="36" spans="1:15" ht="15" thickBot="1" x14ac:dyDescent="0.35">
      <c r="A36" s="78" t="s">
        <v>196</v>
      </c>
      <c r="B36" s="96"/>
      <c r="C36" s="79" t="s">
        <v>917</v>
      </c>
      <c r="D36" s="80">
        <v>2012</v>
      </c>
      <c r="E36" s="81" t="s">
        <v>16</v>
      </c>
      <c r="F36" s="81" t="s">
        <v>17</v>
      </c>
      <c r="G36" s="82">
        <v>9992.7900000000009</v>
      </c>
      <c r="H36" s="79" t="s">
        <v>852</v>
      </c>
      <c r="I36" s="106" t="s">
        <v>856</v>
      </c>
      <c r="J36" s="79"/>
      <c r="N36" s="83" t="s">
        <v>320</v>
      </c>
      <c r="O36" s="106" t="s">
        <v>857</v>
      </c>
    </row>
    <row r="37" spans="1:15" ht="15" thickBot="1" x14ac:dyDescent="0.35">
      <c r="A37" s="86" t="s">
        <v>199</v>
      </c>
      <c r="B37" s="349"/>
      <c r="C37" s="79" t="s">
        <v>918</v>
      </c>
      <c r="D37" s="80">
        <v>2011</v>
      </c>
      <c r="E37" s="81" t="s">
        <v>201</v>
      </c>
      <c r="F37" s="81" t="s">
        <v>202</v>
      </c>
      <c r="G37" s="82">
        <v>7609.55</v>
      </c>
      <c r="H37" s="83" t="s">
        <v>859</v>
      </c>
      <c r="I37" s="106">
        <v>6.5</v>
      </c>
      <c r="J37" s="79"/>
      <c r="M37" t="s">
        <v>893</v>
      </c>
      <c r="N37" s="83" t="s">
        <v>320</v>
      </c>
      <c r="O37" s="108" t="s">
        <v>857</v>
      </c>
    </row>
    <row r="38" spans="1:15" ht="15" thickBot="1" x14ac:dyDescent="0.35">
      <c r="A38" s="78" t="s">
        <v>204</v>
      </c>
      <c r="B38" s="96"/>
      <c r="C38" s="79" t="s">
        <v>919</v>
      </c>
      <c r="D38" s="80">
        <v>2011</v>
      </c>
      <c r="E38" s="81" t="s">
        <v>123</v>
      </c>
      <c r="F38" s="81" t="s">
        <v>124</v>
      </c>
      <c r="G38" s="82">
        <v>19829.849999999999</v>
      </c>
      <c r="H38" s="83" t="s">
        <v>862</v>
      </c>
      <c r="I38" s="106">
        <v>10.5</v>
      </c>
      <c r="J38" s="79"/>
      <c r="M38" t="s">
        <v>982</v>
      </c>
      <c r="N38" s="83" t="s">
        <v>320</v>
      </c>
      <c r="O38" s="106" t="s">
        <v>857</v>
      </c>
    </row>
    <row r="39" spans="1:15" ht="15" thickBot="1" x14ac:dyDescent="0.35">
      <c r="A39" s="78" t="s">
        <v>207</v>
      </c>
      <c r="B39" s="96"/>
      <c r="C39" s="79" t="s">
        <v>920</v>
      </c>
      <c r="D39" s="80">
        <v>2012</v>
      </c>
      <c r="E39" s="81" t="s">
        <v>208</v>
      </c>
      <c r="F39" s="81" t="s">
        <v>209</v>
      </c>
      <c r="G39" s="82">
        <v>18314.25</v>
      </c>
      <c r="H39" s="83" t="s">
        <v>887</v>
      </c>
      <c r="I39" s="106">
        <v>10.5</v>
      </c>
      <c r="J39" s="79"/>
      <c r="M39" t="s">
        <v>982</v>
      </c>
      <c r="N39" s="83" t="s">
        <v>320</v>
      </c>
      <c r="O39" s="106" t="s">
        <v>857</v>
      </c>
    </row>
    <row r="40" spans="1:15" ht="15" thickBot="1" x14ac:dyDescent="0.35">
      <c r="A40" s="78" t="s">
        <v>214</v>
      </c>
      <c r="B40" s="96"/>
      <c r="C40" s="79" t="s">
        <v>921</v>
      </c>
      <c r="D40" s="80">
        <v>2011</v>
      </c>
      <c r="E40" s="81" t="s">
        <v>16</v>
      </c>
      <c r="F40" s="81" t="s">
        <v>41</v>
      </c>
      <c r="G40" s="82">
        <v>8651.0499999999993</v>
      </c>
      <c r="H40" s="83" t="s">
        <v>859</v>
      </c>
      <c r="I40" s="106" t="s">
        <v>922</v>
      </c>
      <c r="J40" s="79"/>
      <c r="N40" s="83" t="s">
        <v>320</v>
      </c>
      <c r="O40" s="106" t="s">
        <v>857</v>
      </c>
    </row>
    <row r="41" spans="1:15" ht="15" thickBot="1" x14ac:dyDescent="0.35">
      <c r="A41" s="78" t="s">
        <v>215</v>
      </c>
      <c r="B41" s="96"/>
      <c r="C41" s="79" t="s">
        <v>923</v>
      </c>
      <c r="D41" s="80">
        <v>2012</v>
      </c>
      <c r="E41" s="81" t="s">
        <v>16</v>
      </c>
      <c r="F41" s="81" t="s">
        <v>41</v>
      </c>
      <c r="G41" s="82">
        <v>7279.5</v>
      </c>
      <c r="H41" s="79" t="s">
        <v>855</v>
      </c>
      <c r="I41" s="106">
        <v>5.5</v>
      </c>
      <c r="J41" s="79"/>
      <c r="N41" s="83" t="s">
        <v>320</v>
      </c>
      <c r="O41" s="106" t="s">
        <v>857</v>
      </c>
    </row>
    <row r="42" spans="1:15" ht="15" thickBot="1" x14ac:dyDescent="0.35">
      <c r="A42" s="78" t="s">
        <v>218</v>
      </c>
      <c r="B42" s="96"/>
      <c r="C42" s="79" t="s">
        <v>924</v>
      </c>
      <c r="D42" s="80">
        <v>2010</v>
      </c>
      <c r="E42" s="81" t="s">
        <v>16</v>
      </c>
      <c r="F42" s="81" t="s">
        <v>17</v>
      </c>
      <c r="G42" s="82">
        <v>9603.5</v>
      </c>
      <c r="H42" s="79" t="s">
        <v>852</v>
      </c>
      <c r="I42" s="106" t="s">
        <v>863</v>
      </c>
      <c r="J42" s="79"/>
      <c r="N42" s="83" t="s">
        <v>320</v>
      </c>
      <c r="O42" s="106" t="s">
        <v>857</v>
      </c>
    </row>
    <row r="43" spans="1:15" ht="15" thickBot="1" x14ac:dyDescent="0.35">
      <c r="A43" s="78" t="s">
        <v>219</v>
      </c>
      <c r="B43" s="96"/>
      <c r="C43" s="79" t="s">
        <v>925</v>
      </c>
      <c r="D43" s="80">
        <v>2015</v>
      </c>
      <c r="E43" s="81" t="s">
        <v>77</v>
      </c>
      <c r="F43" s="81" t="s">
        <v>168</v>
      </c>
      <c r="G43" s="82">
        <v>15020.95</v>
      </c>
      <c r="H43" s="79" t="s">
        <v>891</v>
      </c>
      <c r="I43" s="106" t="s">
        <v>860</v>
      </c>
      <c r="J43" s="79"/>
      <c r="N43" s="83" t="s">
        <v>320</v>
      </c>
      <c r="O43" s="106" t="s">
        <v>857</v>
      </c>
    </row>
    <row r="44" spans="1:15" ht="15" thickBot="1" x14ac:dyDescent="0.35">
      <c r="A44" s="78" t="s">
        <v>220</v>
      </c>
      <c r="B44" s="96"/>
      <c r="C44" s="79" t="s">
        <v>926</v>
      </c>
      <c r="D44" s="80">
        <v>2013</v>
      </c>
      <c r="E44" s="81" t="s">
        <v>77</v>
      </c>
      <c r="F44" s="81" t="s">
        <v>82</v>
      </c>
      <c r="G44" s="82">
        <v>10663.35</v>
      </c>
      <c r="H44" s="79" t="s">
        <v>883</v>
      </c>
      <c r="I44" s="106" t="s">
        <v>856</v>
      </c>
      <c r="J44" s="79"/>
      <c r="N44" s="83" t="s">
        <v>320</v>
      </c>
      <c r="O44" s="106" t="s">
        <v>857</v>
      </c>
    </row>
    <row r="45" spans="1:15" ht="15" thickBot="1" x14ac:dyDescent="0.35">
      <c r="A45" s="86" t="s">
        <v>227</v>
      </c>
      <c r="B45" s="349"/>
      <c r="C45" s="79" t="s">
        <v>927</v>
      </c>
      <c r="D45" s="80">
        <v>2012</v>
      </c>
      <c r="E45" s="81" t="s">
        <v>77</v>
      </c>
      <c r="F45" s="81" t="s">
        <v>138</v>
      </c>
      <c r="G45" s="82">
        <v>14777.5</v>
      </c>
      <c r="H45" s="83" t="s">
        <v>907</v>
      </c>
      <c r="I45" s="106" t="s">
        <v>912</v>
      </c>
      <c r="J45" s="79"/>
      <c r="N45" s="83" t="s">
        <v>320</v>
      </c>
      <c r="O45" s="106" t="s">
        <v>857</v>
      </c>
    </row>
    <row r="46" spans="1:15" ht="15" thickBot="1" x14ac:dyDescent="0.35">
      <c r="A46" s="78" t="s">
        <v>231</v>
      </c>
      <c r="B46" s="96"/>
      <c r="C46" s="79" t="s">
        <v>928</v>
      </c>
      <c r="D46" s="80">
        <v>2008</v>
      </c>
      <c r="E46" s="81" t="s">
        <v>96</v>
      </c>
      <c r="F46" s="81" t="s">
        <v>97</v>
      </c>
      <c r="G46" s="82">
        <v>10463.719999999999</v>
      </c>
      <c r="H46" s="79" t="s">
        <v>859</v>
      </c>
      <c r="I46" s="106" t="s">
        <v>889</v>
      </c>
      <c r="J46" s="79"/>
      <c r="M46" t="s">
        <v>889</v>
      </c>
      <c r="N46" s="83" t="s">
        <v>320</v>
      </c>
      <c r="O46" s="106" t="s">
        <v>857</v>
      </c>
    </row>
    <row r="47" spans="1:15" ht="15" thickBot="1" x14ac:dyDescent="0.35">
      <c r="A47" s="78" t="s">
        <v>232</v>
      </c>
      <c r="B47" s="96"/>
      <c r="C47" s="79" t="s">
        <v>929</v>
      </c>
      <c r="D47" s="80">
        <v>2008</v>
      </c>
      <c r="E47" s="81" t="s">
        <v>49</v>
      </c>
      <c r="F47" s="81" t="s">
        <v>119</v>
      </c>
      <c r="G47" s="82">
        <v>7963.84</v>
      </c>
      <c r="H47" s="79" t="s">
        <v>859</v>
      </c>
      <c r="I47" s="106" t="s">
        <v>893</v>
      </c>
      <c r="J47" s="79"/>
      <c r="M47" t="s">
        <v>893</v>
      </c>
      <c r="N47" s="83" t="s">
        <v>320</v>
      </c>
      <c r="O47" s="106" t="s">
        <v>857</v>
      </c>
    </row>
    <row r="48" spans="1:15" ht="15" thickBot="1" x14ac:dyDescent="0.35">
      <c r="A48" s="78" t="s">
        <v>233</v>
      </c>
      <c r="B48" s="96"/>
      <c r="C48" s="79" t="s">
        <v>930</v>
      </c>
      <c r="D48" s="80">
        <v>2013</v>
      </c>
      <c r="E48" s="81" t="s">
        <v>16</v>
      </c>
      <c r="F48" s="81" t="s">
        <v>234</v>
      </c>
      <c r="G48" s="82">
        <v>14782.5</v>
      </c>
      <c r="H48" s="79" t="s">
        <v>891</v>
      </c>
      <c r="I48" s="106" t="s">
        <v>853</v>
      </c>
      <c r="J48" s="79"/>
      <c r="M48" t="s">
        <v>853</v>
      </c>
      <c r="N48" s="83" t="s">
        <v>320</v>
      </c>
      <c r="O48" s="106" t="s">
        <v>857</v>
      </c>
    </row>
    <row r="49" spans="1:15" ht="15" thickBot="1" x14ac:dyDescent="0.35">
      <c r="A49" s="78" t="s">
        <v>239</v>
      </c>
      <c r="B49" s="96"/>
      <c r="C49" s="79" t="s">
        <v>931</v>
      </c>
      <c r="D49" s="80">
        <v>2012</v>
      </c>
      <c r="E49" s="81" t="s">
        <v>77</v>
      </c>
      <c r="F49" s="81" t="s">
        <v>82</v>
      </c>
      <c r="G49" s="82">
        <v>13408.5</v>
      </c>
      <c r="H49" s="79" t="s">
        <v>891</v>
      </c>
      <c r="I49" s="106" t="s">
        <v>932</v>
      </c>
      <c r="J49" s="79"/>
      <c r="M49" t="s">
        <v>932</v>
      </c>
      <c r="N49" s="83" t="s">
        <v>320</v>
      </c>
      <c r="O49" s="106" t="s">
        <v>857</v>
      </c>
    </row>
    <row r="50" spans="1:15" ht="15" thickBot="1" x14ac:dyDescent="0.35">
      <c r="A50" s="78" t="s">
        <v>243</v>
      </c>
      <c r="B50" s="96"/>
      <c r="C50" s="79" t="s">
        <v>933</v>
      </c>
      <c r="D50" s="80">
        <v>2008</v>
      </c>
      <c r="E50" s="81" t="s">
        <v>96</v>
      </c>
      <c r="F50" s="81" t="s">
        <v>97</v>
      </c>
      <c r="G50" s="82">
        <v>8746.07</v>
      </c>
      <c r="H50" s="79" t="s">
        <v>859</v>
      </c>
      <c r="I50" s="106" t="s">
        <v>856</v>
      </c>
      <c r="J50" s="79"/>
      <c r="M50" t="s">
        <v>856</v>
      </c>
      <c r="N50" s="83" t="s">
        <v>320</v>
      </c>
      <c r="O50" s="106" t="s">
        <v>857</v>
      </c>
    </row>
    <row r="51" spans="1:15" ht="15" thickBot="1" x14ac:dyDescent="0.35">
      <c r="A51" s="78" t="s">
        <v>244</v>
      </c>
      <c r="B51" s="96"/>
      <c r="C51" s="79" t="s">
        <v>934</v>
      </c>
      <c r="D51" s="80">
        <v>2013</v>
      </c>
      <c r="E51" s="81" t="s">
        <v>21</v>
      </c>
      <c r="F51" s="81" t="s">
        <v>245</v>
      </c>
      <c r="G51" s="82">
        <v>14228.75</v>
      </c>
      <c r="H51" s="79" t="s">
        <v>881</v>
      </c>
      <c r="I51" s="106" t="s">
        <v>935</v>
      </c>
      <c r="J51" s="79"/>
      <c r="M51" t="s">
        <v>998</v>
      </c>
      <c r="N51" s="83" t="s">
        <v>936</v>
      </c>
      <c r="O51" s="106" t="s">
        <v>857</v>
      </c>
    </row>
    <row r="52" spans="1:15" ht="15" thickBot="1" x14ac:dyDescent="0.35">
      <c r="A52" s="78" t="s">
        <v>248</v>
      </c>
      <c r="B52" s="96"/>
      <c r="C52" s="79" t="s">
        <v>937</v>
      </c>
      <c r="D52" s="80">
        <v>2015</v>
      </c>
      <c r="E52" s="81" t="s">
        <v>77</v>
      </c>
      <c r="F52" s="81" t="s">
        <v>168</v>
      </c>
      <c r="G52" s="82">
        <v>15859.05</v>
      </c>
      <c r="H52" s="79" t="s">
        <v>881</v>
      </c>
      <c r="I52" s="106" t="s">
        <v>938</v>
      </c>
      <c r="J52" s="79"/>
      <c r="M52" t="s">
        <v>938</v>
      </c>
      <c r="N52" s="83" t="s">
        <v>320</v>
      </c>
      <c r="O52" s="106" t="s">
        <v>857</v>
      </c>
    </row>
    <row r="53" spans="1:15" ht="15" thickBot="1" x14ac:dyDescent="0.35">
      <c r="A53" s="78" t="s">
        <v>251</v>
      </c>
      <c r="B53" s="96"/>
      <c r="C53" s="79" t="s">
        <v>939</v>
      </c>
      <c r="D53" s="80">
        <v>2013</v>
      </c>
      <c r="E53" s="81" t="s">
        <v>77</v>
      </c>
      <c r="F53" s="81" t="s">
        <v>138</v>
      </c>
      <c r="G53" s="82">
        <v>13502.35</v>
      </c>
      <c r="H53" s="83" t="s">
        <v>887</v>
      </c>
      <c r="I53" s="106" t="s">
        <v>940</v>
      </c>
      <c r="J53" s="79"/>
      <c r="M53" t="s">
        <v>940</v>
      </c>
      <c r="N53" s="83" t="s">
        <v>320</v>
      </c>
      <c r="O53" s="106" t="s">
        <v>857</v>
      </c>
    </row>
    <row r="54" spans="1:15" ht="15" thickBot="1" x14ac:dyDescent="0.35">
      <c r="A54" s="78" t="s">
        <v>253</v>
      </c>
      <c r="B54" s="96"/>
      <c r="C54" s="79" t="s">
        <v>941</v>
      </c>
      <c r="D54" s="80">
        <v>2012</v>
      </c>
      <c r="E54" s="81" t="s">
        <v>16</v>
      </c>
      <c r="F54" s="81" t="s">
        <v>41</v>
      </c>
      <c r="G54" s="82">
        <v>8519.98</v>
      </c>
      <c r="H54" s="79" t="s">
        <v>855</v>
      </c>
      <c r="I54" s="106" t="s">
        <v>863</v>
      </c>
      <c r="J54" s="79"/>
      <c r="M54" t="s">
        <v>863</v>
      </c>
      <c r="N54" s="83" t="s">
        <v>320</v>
      </c>
      <c r="O54" s="106" t="s">
        <v>857</v>
      </c>
    </row>
    <row r="55" spans="1:15" ht="15" thickBot="1" x14ac:dyDescent="0.35">
      <c r="A55" s="78" t="s">
        <v>255</v>
      </c>
      <c r="B55" s="96"/>
      <c r="C55" s="79" t="s">
        <v>942</v>
      </c>
      <c r="D55" s="80">
        <v>2009</v>
      </c>
      <c r="E55" s="81" t="s">
        <v>37</v>
      </c>
      <c r="F55" s="81" t="s">
        <v>56</v>
      </c>
      <c r="G55" s="82">
        <v>12954.14</v>
      </c>
      <c r="H55" s="83" t="s">
        <v>887</v>
      </c>
      <c r="I55" s="106" t="s">
        <v>860</v>
      </c>
      <c r="J55" s="79"/>
      <c r="M55" t="s">
        <v>860</v>
      </c>
      <c r="N55" s="83" t="s">
        <v>320</v>
      </c>
      <c r="O55" s="106" t="s">
        <v>857</v>
      </c>
    </row>
    <row r="56" spans="1:15" ht="14.7" customHeight="1" thickBot="1" x14ac:dyDescent="0.35">
      <c r="A56" s="78" t="s">
        <v>257</v>
      </c>
      <c r="B56" s="96"/>
      <c r="C56" s="87" t="s">
        <v>943</v>
      </c>
      <c r="D56" s="80">
        <v>2013</v>
      </c>
      <c r="E56" s="81" t="s">
        <v>77</v>
      </c>
      <c r="F56" s="81" t="s">
        <v>82</v>
      </c>
      <c r="G56" s="82">
        <v>11345.05</v>
      </c>
      <c r="H56" s="79" t="s">
        <v>891</v>
      </c>
      <c r="I56" s="106" t="s">
        <v>932</v>
      </c>
      <c r="J56" s="79"/>
      <c r="M56" t="s">
        <v>932</v>
      </c>
      <c r="N56" s="83" t="s">
        <v>944</v>
      </c>
      <c r="O56" s="106" t="s">
        <v>857</v>
      </c>
    </row>
    <row r="57" spans="1:15" ht="15" thickBot="1" x14ac:dyDescent="0.35">
      <c r="A57" s="88" t="s">
        <v>259</v>
      </c>
      <c r="B57" s="96"/>
      <c r="C57" s="79" t="s">
        <v>945</v>
      </c>
      <c r="D57" s="80">
        <v>2013</v>
      </c>
      <c r="E57" s="81" t="s">
        <v>49</v>
      </c>
      <c r="F57" s="81" t="s">
        <v>260</v>
      </c>
      <c r="G57" s="82">
        <v>8085.5</v>
      </c>
      <c r="H57" s="79" t="s">
        <v>862</v>
      </c>
      <c r="I57" s="106" t="s">
        <v>856</v>
      </c>
      <c r="J57" s="79"/>
      <c r="M57" t="s">
        <v>856</v>
      </c>
      <c r="N57" s="83" t="s">
        <v>320</v>
      </c>
      <c r="O57" s="106" t="s">
        <v>857</v>
      </c>
    </row>
    <row r="58" spans="1:15" ht="15" thickBot="1" x14ac:dyDescent="0.35">
      <c r="A58" s="78" t="s">
        <v>261</v>
      </c>
      <c r="B58" s="96"/>
      <c r="C58" s="79" t="s">
        <v>946</v>
      </c>
      <c r="D58" s="80">
        <v>2010</v>
      </c>
      <c r="E58" s="81" t="s">
        <v>16</v>
      </c>
      <c r="F58" s="81" t="s">
        <v>262</v>
      </c>
      <c r="G58" s="82">
        <v>11724.56</v>
      </c>
      <c r="H58" s="83" t="s">
        <v>855</v>
      </c>
      <c r="I58" s="106" t="s">
        <v>856</v>
      </c>
      <c r="J58" s="79"/>
      <c r="M58" t="s">
        <v>856</v>
      </c>
      <c r="N58" s="83" t="s">
        <v>320</v>
      </c>
      <c r="O58" s="106" t="s">
        <v>857</v>
      </c>
    </row>
    <row r="59" spans="1:15" ht="15" thickBot="1" x14ac:dyDescent="0.35">
      <c r="A59" s="78" t="s">
        <v>263</v>
      </c>
      <c r="B59" s="96"/>
      <c r="C59" s="79" t="s">
        <v>947</v>
      </c>
      <c r="D59" s="80">
        <v>2006</v>
      </c>
      <c r="E59" s="81" t="s">
        <v>162</v>
      </c>
      <c r="F59" s="81" t="s">
        <v>264</v>
      </c>
      <c r="G59" s="82">
        <v>7522</v>
      </c>
      <c r="H59" s="79" t="s">
        <v>914</v>
      </c>
      <c r="I59" s="106" t="s">
        <v>948</v>
      </c>
      <c r="J59" s="79"/>
      <c r="M59" t="s">
        <v>948</v>
      </c>
      <c r="N59" s="83" t="s">
        <v>320</v>
      </c>
      <c r="O59" s="106" t="s">
        <v>857</v>
      </c>
    </row>
    <row r="60" spans="1:15" ht="15" thickBot="1" x14ac:dyDescent="0.35">
      <c r="A60" s="78" t="s">
        <v>265</v>
      </c>
      <c r="B60" s="96"/>
      <c r="C60" s="79" t="s">
        <v>949</v>
      </c>
      <c r="D60" s="80">
        <v>2015</v>
      </c>
      <c r="E60" s="81" t="s">
        <v>77</v>
      </c>
      <c r="F60" s="81" t="s">
        <v>266</v>
      </c>
      <c r="G60" s="82">
        <v>16701.45</v>
      </c>
      <c r="H60" s="79" t="s">
        <v>907</v>
      </c>
      <c r="I60" s="106" t="s">
        <v>950</v>
      </c>
      <c r="J60" s="79"/>
      <c r="M60" t="s">
        <v>950</v>
      </c>
      <c r="N60" s="83" t="s">
        <v>320</v>
      </c>
      <c r="O60" s="106" t="s">
        <v>857</v>
      </c>
    </row>
    <row r="61" spans="1:15" ht="15" thickBot="1" x14ac:dyDescent="0.35">
      <c r="A61" s="78" t="s">
        <v>267</v>
      </c>
      <c r="B61" s="96"/>
      <c r="C61" s="79" t="s">
        <v>951</v>
      </c>
      <c r="D61" s="80">
        <v>2009</v>
      </c>
      <c r="E61" s="81" t="s">
        <v>96</v>
      </c>
      <c r="F61" s="81" t="s">
        <v>97</v>
      </c>
      <c r="G61" s="82">
        <v>6730.93</v>
      </c>
      <c r="H61" s="83" t="s">
        <v>914</v>
      </c>
      <c r="I61" s="106" t="s">
        <v>865</v>
      </c>
      <c r="J61" s="79"/>
      <c r="M61" t="s">
        <v>865</v>
      </c>
      <c r="N61" s="83" t="s">
        <v>320</v>
      </c>
      <c r="O61" s="106" t="s">
        <v>857</v>
      </c>
    </row>
    <row r="62" spans="1:15" ht="15" thickBot="1" x14ac:dyDescent="0.35">
      <c r="A62" s="78" t="s">
        <v>268</v>
      </c>
      <c r="B62" s="96"/>
      <c r="C62" s="79" t="s">
        <v>952</v>
      </c>
      <c r="D62" s="80">
        <v>2007</v>
      </c>
      <c r="E62" s="81" t="s">
        <v>96</v>
      </c>
      <c r="F62" s="81" t="s">
        <v>269</v>
      </c>
      <c r="G62" s="82">
        <v>7346.51</v>
      </c>
      <c r="H62" s="83" t="s">
        <v>869</v>
      </c>
      <c r="I62" s="106" t="s">
        <v>865</v>
      </c>
      <c r="J62" s="79"/>
      <c r="M62" t="s">
        <v>865</v>
      </c>
      <c r="N62" s="83" t="s">
        <v>320</v>
      </c>
      <c r="O62" s="106" t="s">
        <v>857</v>
      </c>
    </row>
    <row r="63" spans="1:15" ht="15" thickBot="1" x14ac:dyDescent="0.35">
      <c r="A63" s="78" t="s">
        <v>270</v>
      </c>
      <c r="B63" s="96"/>
      <c r="C63" s="79" t="s">
        <v>953</v>
      </c>
      <c r="D63" s="80">
        <v>2008</v>
      </c>
      <c r="E63" s="81" t="s">
        <v>271</v>
      </c>
      <c r="F63" s="81" t="s">
        <v>734</v>
      </c>
      <c r="G63" s="82">
        <v>9171.93</v>
      </c>
      <c r="H63" s="83" t="s">
        <v>859</v>
      </c>
      <c r="I63" s="106" t="s">
        <v>893</v>
      </c>
      <c r="J63" s="79"/>
      <c r="M63" t="s">
        <v>893</v>
      </c>
      <c r="N63" s="83" t="s">
        <v>320</v>
      </c>
      <c r="O63" s="106" t="s">
        <v>857</v>
      </c>
    </row>
    <row r="64" spans="1:15" ht="15" thickBot="1" x14ac:dyDescent="0.35">
      <c r="A64" s="78" t="s">
        <v>274</v>
      </c>
      <c r="B64" s="96"/>
      <c r="C64" s="79" t="s">
        <v>954</v>
      </c>
      <c r="D64" s="80">
        <v>2007</v>
      </c>
      <c r="E64" s="81" t="s">
        <v>162</v>
      </c>
      <c r="F64" s="81" t="s">
        <v>276</v>
      </c>
      <c r="G64" s="82">
        <v>7661.18</v>
      </c>
      <c r="H64" s="79" t="s">
        <v>862</v>
      </c>
      <c r="I64" s="106" t="s">
        <v>901</v>
      </c>
      <c r="J64" s="79"/>
      <c r="M64" t="s">
        <v>901</v>
      </c>
      <c r="N64" s="83" t="s">
        <v>320</v>
      </c>
      <c r="O64" s="106" t="s">
        <v>857</v>
      </c>
    </row>
    <row r="65" spans="1:16" ht="15" thickBot="1" x14ac:dyDescent="0.35">
      <c r="A65" s="78" t="s">
        <v>282</v>
      </c>
      <c r="B65" s="96"/>
      <c r="C65" s="89" t="s">
        <v>955</v>
      </c>
      <c r="D65" s="90">
        <v>2010</v>
      </c>
      <c r="E65" s="91" t="s">
        <v>212</v>
      </c>
      <c r="F65" s="91" t="s">
        <v>284</v>
      </c>
      <c r="G65" s="82">
        <v>10212.5</v>
      </c>
      <c r="H65" s="92" t="s">
        <v>859</v>
      </c>
      <c r="I65" s="109" t="s">
        <v>901</v>
      </c>
      <c r="J65" s="89"/>
      <c r="M65" t="s">
        <v>901</v>
      </c>
      <c r="N65" s="83" t="s">
        <v>320</v>
      </c>
      <c r="O65" s="106" t="s">
        <v>857</v>
      </c>
    </row>
    <row r="66" spans="1:16" ht="15" thickBot="1" x14ac:dyDescent="0.35">
      <c r="A66" s="78" t="s">
        <v>289</v>
      </c>
      <c r="B66" s="96"/>
      <c r="C66" s="89" t="s">
        <v>956</v>
      </c>
      <c r="D66" s="90">
        <v>2010</v>
      </c>
      <c r="E66" s="91" t="s">
        <v>212</v>
      </c>
      <c r="F66" s="91" t="s">
        <v>284</v>
      </c>
      <c r="G66" s="82">
        <v>10566.15</v>
      </c>
      <c r="H66" s="89" t="s">
        <v>859</v>
      </c>
      <c r="I66" s="109" t="s">
        <v>901</v>
      </c>
      <c r="J66" s="89"/>
      <c r="M66" t="s">
        <v>901</v>
      </c>
      <c r="N66" s="83" t="s">
        <v>320</v>
      </c>
      <c r="O66" s="109" t="s">
        <v>857</v>
      </c>
    </row>
    <row r="67" spans="1:16" ht="15" thickBot="1" x14ac:dyDescent="0.35">
      <c r="A67" s="78" t="s">
        <v>305</v>
      </c>
      <c r="B67" s="96"/>
      <c r="C67" s="89" t="s">
        <v>957</v>
      </c>
      <c r="D67" s="90">
        <v>2011</v>
      </c>
      <c r="E67" s="91" t="s">
        <v>16</v>
      </c>
      <c r="F67" s="91" t="s">
        <v>306</v>
      </c>
      <c r="G67" s="82">
        <v>11181.52</v>
      </c>
      <c r="H67" s="92" t="s">
        <v>855</v>
      </c>
      <c r="I67" s="109" t="s">
        <v>860</v>
      </c>
      <c r="J67" s="89"/>
      <c r="M67" t="s">
        <v>860</v>
      </c>
      <c r="N67" s="83" t="s">
        <v>320</v>
      </c>
      <c r="O67" s="109" t="s">
        <v>857</v>
      </c>
    </row>
    <row r="68" spans="1:16" ht="15" thickBot="1" x14ac:dyDescent="0.35">
      <c r="A68" s="78" t="s">
        <v>331</v>
      </c>
      <c r="B68" s="350"/>
      <c r="C68" s="92" t="s">
        <v>958</v>
      </c>
      <c r="D68" s="92">
        <v>2012</v>
      </c>
      <c r="E68" s="92" t="s">
        <v>77</v>
      </c>
      <c r="F68" s="92" t="s">
        <v>138</v>
      </c>
      <c r="G68" s="82">
        <v>16610.849999999999</v>
      </c>
      <c r="H68" s="92" t="s">
        <v>959</v>
      </c>
      <c r="I68" s="109" t="s">
        <v>912</v>
      </c>
      <c r="J68" s="89"/>
      <c r="M68" t="s">
        <v>912</v>
      </c>
      <c r="N68" s="83" t="s">
        <v>320</v>
      </c>
      <c r="O68" s="108" t="s">
        <v>857</v>
      </c>
    </row>
    <row r="69" spans="1:16" ht="15" thickBot="1" x14ac:dyDescent="0.35">
      <c r="A69" s="78" t="s">
        <v>350</v>
      </c>
      <c r="B69" s="350"/>
      <c r="C69" s="92" t="s">
        <v>960</v>
      </c>
      <c r="D69" s="92">
        <v>2009</v>
      </c>
      <c r="E69" s="92" t="s">
        <v>37</v>
      </c>
      <c r="F69" s="92" t="s">
        <v>351</v>
      </c>
      <c r="G69" s="82">
        <v>15177.95</v>
      </c>
      <c r="H69" s="92" t="s">
        <v>859</v>
      </c>
      <c r="I69" s="109" t="s">
        <v>901</v>
      </c>
      <c r="J69" s="89"/>
      <c r="N69" s="83" t="s">
        <v>323</v>
      </c>
      <c r="O69" s="110"/>
    </row>
    <row r="70" spans="1:16" ht="15" thickBot="1" x14ac:dyDescent="0.35">
      <c r="A70" s="78" t="s">
        <v>352</v>
      </c>
      <c r="B70" s="96"/>
      <c r="C70" s="89" t="s">
        <v>961</v>
      </c>
      <c r="D70" s="93">
        <v>2008</v>
      </c>
      <c r="E70" s="94" t="s">
        <v>37</v>
      </c>
      <c r="F70" s="94" t="s">
        <v>353</v>
      </c>
      <c r="G70" s="82">
        <v>18189.400000000001</v>
      </c>
      <c r="H70" s="89" t="s">
        <v>859</v>
      </c>
      <c r="I70" s="109" t="s">
        <v>948</v>
      </c>
      <c r="J70" s="89"/>
      <c r="N70" s="83" t="s">
        <v>323</v>
      </c>
      <c r="O70" s="110"/>
    </row>
    <row r="71" spans="1:16" ht="15" thickBot="1" x14ac:dyDescent="0.35">
      <c r="A71" s="78" t="s">
        <v>354</v>
      </c>
      <c r="B71" s="350"/>
      <c r="C71" s="92" t="s">
        <v>962</v>
      </c>
      <c r="D71" s="92">
        <v>2008</v>
      </c>
      <c r="E71" s="92" t="s">
        <v>37</v>
      </c>
      <c r="F71" s="92" t="s">
        <v>353</v>
      </c>
      <c r="G71" s="82">
        <v>17099.64</v>
      </c>
      <c r="H71" s="89" t="s">
        <v>859</v>
      </c>
      <c r="I71" s="109" t="s">
        <v>867</v>
      </c>
      <c r="J71" s="89"/>
      <c r="N71" s="83" t="s">
        <v>323</v>
      </c>
      <c r="O71" s="110"/>
    </row>
    <row r="72" spans="1:16" ht="15" thickBot="1" x14ac:dyDescent="0.35">
      <c r="A72" s="78" t="s">
        <v>356</v>
      </c>
      <c r="B72" s="350"/>
      <c r="C72" s="92" t="s">
        <v>963</v>
      </c>
      <c r="D72" s="92">
        <v>2007</v>
      </c>
      <c r="E72" s="92" t="s">
        <v>212</v>
      </c>
      <c r="F72" s="92" t="s">
        <v>247</v>
      </c>
      <c r="G72" s="82">
        <v>13291.18</v>
      </c>
      <c r="H72" s="89" t="s">
        <v>859</v>
      </c>
      <c r="I72" s="109" t="s">
        <v>867</v>
      </c>
      <c r="J72" s="89"/>
      <c r="N72" s="83" t="s">
        <v>323</v>
      </c>
      <c r="O72" s="110"/>
    </row>
    <row r="73" spans="1:16" ht="15" thickBot="1" x14ac:dyDescent="0.35">
      <c r="A73" s="78" t="s">
        <v>358</v>
      </c>
      <c r="B73" s="96"/>
      <c r="C73" s="89" t="s">
        <v>964</v>
      </c>
      <c r="D73" s="93">
        <v>2008</v>
      </c>
      <c r="E73" s="94" t="s">
        <v>212</v>
      </c>
      <c r="F73" s="94" t="s">
        <v>359</v>
      </c>
      <c r="G73" s="82">
        <v>15527.06</v>
      </c>
      <c r="H73" s="89" t="s">
        <v>859</v>
      </c>
      <c r="I73" s="109" t="s">
        <v>870</v>
      </c>
      <c r="J73" s="89"/>
      <c r="N73" s="83" t="s">
        <v>323</v>
      </c>
      <c r="O73" s="110" t="s">
        <v>323</v>
      </c>
      <c r="P73" s="53">
        <v>7000</v>
      </c>
    </row>
    <row r="74" spans="1:16" ht="15" thickBot="1" x14ac:dyDescent="0.35">
      <c r="A74" s="78" t="s">
        <v>360</v>
      </c>
      <c r="B74" s="350"/>
      <c r="C74" s="92" t="s">
        <v>965</v>
      </c>
      <c r="D74" s="92">
        <v>2009</v>
      </c>
      <c r="E74" s="92" t="s">
        <v>212</v>
      </c>
      <c r="F74" s="92" t="s">
        <v>359</v>
      </c>
      <c r="G74" s="82">
        <v>11093.2</v>
      </c>
      <c r="H74" s="92" t="s">
        <v>859</v>
      </c>
      <c r="I74" s="109" t="s">
        <v>893</v>
      </c>
      <c r="J74" s="89"/>
      <c r="N74" s="83" t="s">
        <v>323</v>
      </c>
      <c r="O74" s="110"/>
    </row>
    <row r="75" spans="1:16" ht="15" thickBot="1" x14ac:dyDescent="0.35">
      <c r="A75" s="78" t="s">
        <v>361</v>
      </c>
      <c r="B75" s="96"/>
      <c r="C75" s="89" t="s">
        <v>966</v>
      </c>
      <c r="D75" s="93">
        <v>2008</v>
      </c>
      <c r="E75" s="94" t="s">
        <v>212</v>
      </c>
      <c r="F75" s="94" t="s">
        <v>362</v>
      </c>
      <c r="G75" s="82">
        <v>12681.88</v>
      </c>
      <c r="H75" s="92" t="s">
        <v>914</v>
      </c>
      <c r="I75" s="109" t="s">
        <v>870</v>
      </c>
      <c r="J75" s="89"/>
      <c r="N75" s="83" t="s">
        <v>323</v>
      </c>
      <c r="O75" s="110"/>
    </row>
    <row r="76" spans="1:16" ht="15" thickBot="1" x14ac:dyDescent="0.35">
      <c r="A76" s="78" t="s">
        <v>371</v>
      </c>
      <c r="B76" s="96"/>
      <c r="C76" s="89" t="s">
        <v>967</v>
      </c>
      <c r="D76" s="90">
        <v>2007</v>
      </c>
      <c r="E76" s="91" t="s">
        <v>37</v>
      </c>
      <c r="F76" s="91" t="s">
        <v>335</v>
      </c>
      <c r="G76" s="82">
        <v>13219.5</v>
      </c>
      <c r="H76" s="92" t="s">
        <v>859</v>
      </c>
      <c r="I76" s="109" t="s">
        <v>948</v>
      </c>
      <c r="J76" s="89"/>
      <c r="M76" t="s">
        <v>948</v>
      </c>
      <c r="N76" s="83" t="s">
        <v>320</v>
      </c>
      <c r="O76" s="109" t="s">
        <v>857</v>
      </c>
    </row>
    <row r="77" spans="1:16" ht="15" thickBot="1" x14ac:dyDescent="0.35">
      <c r="A77" s="78" t="s">
        <v>391</v>
      </c>
      <c r="B77" s="96"/>
      <c r="C77" s="89" t="s">
        <v>968</v>
      </c>
      <c r="D77" s="90">
        <v>2009</v>
      </c>
      <c r="E77" s="91" t="s">
        <v>212</v>
      </c>
      <c r="F77" s="91" t="s">
        <v>359</v>
      </c>
      <c r="G77" s="82">
        <v>11517.2</v>
      </c>
      <c r="H77" s="89" t="s">
        <v>859</v>
      </c>
      <c r="I77" s="109" t="s">
        <v>893</v>
      </c>
      <c r="J77" s="89"/>
      <c r="N77" s="83" t="s">
        <v>323</v>
      </c>
      <c r="O77" s="110" t="s">
        <v>1153</v>
      </c>
    </row>
    <row r="78" spans="1:16" ht="15" thickBot="1" x14ac:dyDescent="0.35">
      <c r="A78" s="78" t="s">
        <v>396</v>
      </c>
      <c r="B78" s="96"/>
      <c r="C78" s="89" t="s">
        <v>969</v>
      </c>
      <c r="D78" s="90">
        <v>2014</v>
      </c>
      <c r="E78" s="91" t="s">
        <v>21</v>
      </c>
      <c r="F78" s="91" t="s">
        <v>86</v>
      </c>
      <c r="G78" s="82">
        <v>22785.57</v>
      </c>
      <c r="H78" s="92" t="s">
        <v>959</v>
      </c>
      <c r="I78" s="109" t="s">
        <v>938</v>
      </c>
      <c r="J78" s="89"/>
      <c r="N78" s="83" t="s">
        <v>323</v>
      </c>
      <c r="O78" s="110"/>
    </row>
    <row r="79" spans="1:16" ht="15" thickBot="1" x14ac:dyDescent="0.35">
      <c r="A79" s="78" t="s">
        <v>404</v>
      </c>
      <c r="B79" s="96"/>
      <c r="C79" s="89" t="s">
        <v>970</v>
      </c>
      <c r="D79" s="90">
        <v>2010</v>
      </c>
      <c r="E79" s="91" t="s">
        <v>16</v>
      </c>
      <c r="F79" s="91" t="s">
        <v>17</v>
      </c>
      <c r="G79" s="82">
        <v>9208.0499999999993</v>
      </c>
      <c r="H79" s="89" t="s">
        <v>862</v>
      </c>
      <c r="I79" s="109" t="s">
        <v>893</v>
      </c>
      <c r="J79" s="89"/>
      <c r="N79" s="83" t="s">
        <v>944</v>
      </c>
      <c r="O79" s="110"/>
    </row>
    <row r="80" spans="1:16" ht="15" thickBot="1" x14ac:dyDescent="0.35">
      <c r="A80" s="78" t="s">
        <v>431</v>
      </c>
      <c r="B80" s="96"/>
      <c r="C80" s="89" t="s">
        <v>971</v>
      </c>
      <c r="D80" s="90">
        <v>2012</v>
      </c>
      <c r="E80" s="91" t="s">
        <v>77</v>
      </c>
      <c r="F80" s="91" t="s">
        <v>432</v>
      </c>
      <c r="G80" s="82">
        <v>7965.16</v>
      </c>
      <c r="H80" s="89" t="s">
        <v>859</v>
      </c>
      <c r="I80" s="109" t="s">
        <v>865</v>
      </c>
      <c r="J80" s="89"/>
      <c r="N80" s="83" t="s">
        <v>323</v>
      </c>
      <c r="O80" s="110"/>
    </row>
    <row r="81" spans="1:15" ht="15" thickBot="1" x14ac:dyDescent="0.35">
      <c r="A81" s="78" t="s">
        <v>433</v>
      </c>
      <c r="B81" s="96"/>
      <c r="C81" s="89" t="s">
        <v>972</v>
      </c>
      <c r="D81" s="90">
        <v>2008</v>
      </c>
      <c r="E81" s="91" t="s">
        <v>49</v>
      </c>
      <c r="F81" s="91" t="s">
        <v>52</v>
      </c>
      <c r="G81" s="82">
        <v>12046.64</v>
      </c>
      <c r="H81" s="92" t="s">
        <v>862</v>
      </c>
      <c r="I81" s="109" t="s">
        <v>889</v>
      </c>
      <c r="J81" s="89"/>
      <c r="N81" s="83" t="s">
        <v>323</v>
      </c>
      <c r="O81" s="110"/>
    </row>
    <row r="82" spans="1:15" ht="15" thickBot="1" x14ac:dyDescent="0.35">
      <c r="A82" s="78" t="s">
        <v>973</v>
      </c>
      <c r="B82" s="96"/>
      <c r="C82" s="79" t="s">
        <v>974</v>
      </c>
      <c r="D82" s="80">
        <v>2013</v>
      </c>
      <c r="E82" s="81" t="s">
        <v>77</v>
      </c>
      <c r="F82" s="81" t="s">
        <v>78</v>
      </c>
      <c r="G82" s="82">
        <v>10089.620000000001</v>
      </c>
      <c r="H82" s="83" t="s">
        <v>859</v>
      </c>
      <c r="I82" s="106" t="s">
        <v>859</v>
      </c>
      <c r="J82" s="229" t="s">
        <v>975</v>
      </c>
      <c r="N82" s="83" t="s">
        <v>323</v>
      </c>
      <c r="O82" s="108" t="s">
        <v>976</v>
      </c>
    </row>
    <row r="83" spans="1:15" ht="15" thickBot="1" x14ac:dyDescent="0.35">
      <c r="A83" s="78" t="s">
        <v>977</v>
      </c>
      <c r="B83" s="96"/>
      <c r="C83" s="79" t="s">
        <v>978</v>
      </c>
      <c r="D83" s="80">
        <v>2010</v>
      </c>
      <c r="E83" s="81" t="s">
        <v>162</v>
      </c>
      <c r="F83" s="81" t="s">
        <v>979</v>
      </c>
      <c r="G83" s="82">
        <v>10269.25</v>
      </c>
      <c r="H83" s="79" t="s">
        <v>862</v>
      </c>
      <c r="I83" s="106" t="s">
        <v>948</v>
      </c>
      <c r="J83" s="229" t="s">
        <v>922</v>
      </c>
      <c r="N83" s="83" t="s">
        <v>320</v>
      </c>
      <c r="O83" s="106" t="s">
        <v>976</v>
      </c>
    </row>
    <row r="84" spans="1:15" ht="15" thickBot="1" x14ac:dyDescent="0.35">
      <c r="A84" s="78" t="s">
        <v>980</v>
      </c>
      <c r="B84" s="96"/>
      <c r="C84" s="79" t="s">
        <v>981</v>
      </c>
      <c r="D84" s="80">
        <v>2016</v>
      </c>
      <c r="E84" s="81" t="s">
        <v>77</v>
      </c>
      <c r="F84" s="81" t="s">
        <v>78</v>
      </c>
      <c r="G84" s="82">
        <v>10508.95</v>
      </c>
      <c r="H84" s="79" t="s">
        <v>862</v>
      </c>
      <c r="I84" s="106" t="s">
        <v>982</v>
      </c>
      <c r="J84" s="229" t="s">
        <v>975</v>
      </c>
      <c r="N84" s="79" t="s">
        <v>320</v>
      </c>
      <c r="O84" s="108" t="s">
        <v>976</v>
      </c>
    </row>
    <row r="85" spans="1:15" ht="15" thickBot="1" x14ac:dyDescent="0.35">
      <c r="A85" s="78" t="s">
        <v>177</v>
      </c>
      <c r="B85" s="96"/>
      <c r="C85" s="79" t="s">
        <v>983</v>
      </c>
      <c r="D85" s="80">
        <v>2011</v>
      </c>
      <c r="E85" s="81" t="s">
        <v>77</v>
      </c>
      <c r="F85" s="81" t="s">
        <v>78</v>
      </c>
      <c r="G85" s="82">
        <v>8008.5</v>
      </c>
      <c r="H85" s="83" t="s">
        <v>869</v>
      </c>
      <c r="I85" s="106" t="s">
        <v>901</v>
      </c>
      <c r="J85" s="229" t="s">
        <v>984</v>
      </c>
      <c r="N85" s="79" t="s">
        <v>985</v>
      </c>
      <c r="O85" s="106" t="s">
        <v>976</v>
      </c>
    </row>
    <row r="86" spans="1:15" ht="15" thickBot="1" x14ac:dyDescent="0.35">
      <c r="A86" s="78" t="s">
        <v>986</v>
      </c>
      <c r="B86" s="96"/>
      <c r="C86" s="79" t="s">
        <v>987</v>
      </c>
      <c r="D86" s="80">
        <v>2012</v>
      </c>
      <c r="E86" s="81" t="s">
        <v>77</v>
      </c>
      <c r="F86" s="81" t="s">
        <v>78</v>
      </c>
      <c r="G86" s="82">
        <v>7575.01</v>
      </c>
      <c r="H86" s="83" t="s">
        <v>914</v>
      </c>
      <c r="I86" s="106">
        <v>7.5</v>
      </c>
      <c r="J86" s="229" t="s">
        <v>984</v>
      </c>
      <c r="N86" s="79" t="s">
        <v>320</v>
      </c>
      <c r="O86" s="108" t="s">
        <v>976</v>
      </c>
    </row>
    <row r="87" spans="1:15" ht="15" thickBot="1" x14ac:dyDescent="0.35">
      <c r="A87" s="78" t="s">
        <v>988</v>
      </c>
      <c r="B87" s="96"/>
      <c r="C87" s="79" t="s">
        <v>989</v>
      </c>
      <c r="D87" s="80">
        <v>2016</v>
      </c>
      <c r="E87" s="81" t="s">
        <v>77</v>
      </c>
      <c r="F87" s="81" t="s">
        <v>158</v>
      </c>
      <c r="G87" s="82">
        <v>9449.98</v>
      </c>
      <c r="H87" s="83" t="s">
        <v>852</v>
      </c>
      <c r="I87" s="106" t="s">
        <v>865</v>
      </c>
      <c r="J87" s="229" t="s">
        <v>870</v>
      </c>
      <c r="N87" s="79" t="s">
        <v>320</v>
      </c>
      <c r="O87" s="108" t="s">
        <v>976</v>
      </c>
    </row>
    <row r="88" spans="1:15" ht="15" thickBot="1" x14ac:dyDescent="0.35">
      <c r="A88" s="78" t="s">
        <v>990</v>
      </c>
      <c r="B88" s="96"/>
      <c r="C88" s="79" t="s">
        <v>991</v>
      </c>
      <c r="D88" s="80">
        <v>2012</v>
      </c>
      <c r="E88" s="81" t="s">
        <v>77</v>
      </c>
      <c r="F88" s="81" t="s">
        <v>138</v>
      </c>
      <c r="G88" s="82">
        <v>15864.36</v>
      </c>
      <c r="H88" s="83" t="s">
        <v>959</v>
      </c>
      <c r="I88" s="106" t="s">
        <v>860</v>
      </c>
      <c r="J88" s="229" t="s">
        <v>856</v>
      </c>
      <c r="N88" s="79" t="s">
        <v>320</v>
      </c>
      <c r="O88" s="108" t="s">
        <v>976</v>
      </c>
    </row>
    <row r="89" spans="1:15" ht="15" thickBot="1" x14ac:dyDescent="0.35">
      <c r="A89" s="78" t="s">
        <v>992</v>
      </c>
      <c r="B89" s="96"/>
      <c r="C89" s="79" t="s">
        <v>993</v>
      </c>
      <c r="D89" s="80">
        <v>2014</v>
      </c>
      <c r="E89" s="81" t="s">
        <v>16</v>
      </c>
      <c r="F89" s="81" t="s">
        <v>994</v>
      </c>
      <c r="G89" s="82">
        <v>23516.07</v>
      </c>
      <c r="H89" s="79" t="s">
        <v>995</v>
      </c>
      <c r="I89" s="106" t="s">
        <v>996</v>
      </c>
      <c r="J89" s="229" t="s">
        <v>997</v>
      </c>
      <c r="K89" s="229" t="s">
        <v>998</v>
      </c>
      <c r="L89" s="79"/>
      <c r="M89" s="79"/>
      <c r="N89" s="79" t="s">
        <v>320</v>
      </c>
      <c r="O89" s="108" t="s">
        <v>976</v>
      </c>
    </row>
    <row r="90" spans="1:15" ht="15" thickBot="1" x14ac:dyDescent="0.35">
      <c r="A90" s="86" t="s">
        <v>999</v>
      </c>
      <c r="B90" s="349"/>
      <c r="C90" s="79" t="s">
        <v>1000</v>
      </c>
      <c r="D90" s="80">
        <v>2016</v>
      </c>
      <c r="E90" s="81" t="s">
        <v>96</v>
      </c>
      <c r="F90" s="81" t="s">
        <v>1001</v>
      </c>
      <c r="G90" s="82">
        <v>8706.3799999999992</v>
      </c>
      <c r="H90" s="83" t="s">
        <v>859</v>
      </c>
      <c r="I90" s="106" t="s">
        <v>901</v>
      </c>
      <c r="J90" s="229" t="s">
        <v>867</v>
      </c>
      <c r="K90" s="230"/>
      <c r="N90" s="79" t="s">
        <v>320</v>
      </c>
      <c r="O90" s="108" t="s">
        <v>976</v>
      </c>
    </row>
    <row r="91" spans="1:15" ht="15" thickBot="1" x14ac:dyDescent="0.35">
      <c r="A91" s="78" t="s">
        <v>1002</v>
      </c>
      <c r="B91" s="96"/>
      <c r="C91" s="79" t="s">
        <v>1003</v>
      </c>
      <c r="D91" s="80">
        <v>2016</v>
      </c>
      <c r="E91" s="81" t="s">
        <v>96</v>
      </c>
      <c r="F91" s="81" t="s">
        <v>1001</v>
      </c>
      <c r="G91" s="82">
        <v>8240.56</v>
      </c>
      <c r="H91" s="79" t="s">
        <v>914</v>
      </c>
      <c r="I91" s="106">
        <v>7.5</v>
      </c>
      <c r="J91" s="229" t="s">
        <v>867</v>
      </c>
      <c r="K91" s="230"/>
      <c r="N91" s="79" t="s">
        <v>320</v>
      </c>
      <c r="O91" s="108" t="s">
        <v>976</v>
      </c>
    </row>
    <row r="92" spans="1:15" ht="15" thickBot="1" x14ac:dyDescent="0.35">
      <c r="A92" s="78" t="s">
        <v>237</v>
      </c>
      <c r="B92" s="96"/>
      <c r="C92" s="79" t="s">
        <v>1004</v>
      </c>
      <c r="D92" s="80">
        <v>2011</v>
      </c>
      <c r="E92" s="81" t="s">
        <v>77</v>
      </c>
      <c r="F92" s="81" t="s">
        <v>158</v>
      </c>
      <c r="G92" s="82">
        <v>8138.6450000000004</v>
      </c>
      <c r="H92" s="83" t="s">
        <v>914</v>
      </c>
      <c r="I92" s="106" t="s">
        <v>870</v>
      </c>
      <c r="J92" s="229" t="s">
        <v>867</v>
      </c>
      <c r="K92" s="229" t="s">
        <v>867</v>
      </c>
      <c r="L92" s="79"/>
      <c r="M92" s="79"/>
      <c r="N92" s="79" t="s">
        <v>320</v>
      </c>
      <c r="O92" s="108" t="s">
        <v>976</v>
      </c>
    </row>
    <row r="93" spans="1:15" ht="15" thickBot="1" x14ac:dyDescent="0.35">
      <c r="A93" s="78" t="s">
        <v>1005</v>
      </c>
      <c r="B93" s="96"/>
      <c r="C93" s="79" t="s">
        <v>1006</v>
      </c>
      <c r="D93" s="80">
        <v>2014</v>
      </c>
      <c r="E93" s="81" t="s">
        <v>77</v>
      </c>
      <c r="F93" s="81" t="s">
        <v>158</v>
      </c>
      <c r="G93" s="82">
        <v>9649.7900000000009</v>
      </c>
      <c r="H93" s="83" t="s">
        <v>852</v>
      </c>
      <c r="I93" s="106" t="s">
        <v>901</v>
      </c>
      <c r="J93" s="229" t="s">
        <v>893</v>
      </c>
      <c r="K93" s="230"/>
      <c r="N93" s="79" t="s">
        <v>320</v>
      </c>
      <c r="O93" s="108" t="s">
        <v>976</v>
      </c>
    </row>
    <row r="94" spans="1:15" ht="15" thickBot="1" x14ac:dyDescent="0.35">
      <c r="A94" s="78" t="s">
        <v>1007</v>
      </c>
      <c r="B94" s="96"/>
      <c r="C94" s="79" t="s">
        <v>1008</v>
      </c>
      <c r="D94" s="80">
        <v>2013</v>
      </c>
      <c r="E94" s="81" t="s">
        <v>96</v>
      </c>
      <c r="F94" s="81" t="s">
        <v>241</v>
      </c>
      <c r="G94" s="82">
        <v>9009.36</v>
      </c>
      <c r="H94" s="79" t="s">
        <v>852</v>
      </c>
      <c r="I94" s="106" t="s">
        <v>856</v>
      </c>
      <c r="J94" s="229" t="s">
        <v>1009</v>
      </c>
      <c r="K94" s="230"/>
      <c r="N94" s="79" t="s">
        <v>1010</v>
      </c>
      <c r="O94" s="106" t="s">
        <v>976</v>
      </c>
    </row>
    <row r="95" spans="1:15" ht="15" thickBot="1" x14ac:dyDescent="0.35">
      <c r="A95" s="95" t="s">
        <v>1011</v>
      </c>
      <c r="B95" s="351"/>
      <c r="C95" s="79" t="s">
        <v>1012</v>
      </c>
      <c r="D95" s="80">
        <v>2016</v>
      </c>
      <c r="E95" s="81" t="s">
        <v>96</v>
      </c>
      <c r="F95" s="81" t="s">
        <v>1001</v>
      </c>
      <c r="G95" s="82">
        <v>8060.98</v>
      </c>
      <c r="H95" s="83" t="s">
        <v>914</v>
      </c>
      <c r="I95" s="106" t="s">
        <v>901</v>
      </c>
      <c r="J95" s="229" t="s">
        <v>867</v>
      </c>
      <c r="K95" s="230"/>
      <c r="N95" s="79" t="s">
        <v>320</v>
      </c>
      <c r="O95" s="108" t="s">
        <v>976</v>
      </c>
    </row>
    <row r="96" spans="1:15" ht="15" thickBot="1" x14ac:dyDescent="0.35">
      <c r="A96" s="78" t="s">
        <v>254</v>
      </c>
      <c r="B96" s="96"/>
      <c r="C96" s="79" t="s">
        <v>1013</v>
      </c>
      <c r="D96" s="80">
        <v>2016</v>
      </c>
      <c r="E96" s="81" t="s">
        <v>29</v>
      </c>
      <c r="F96" s="81" t="s">
        <v>230</v>
      </c>
      <c r="G96" s="82">
        <v>13000.62</v>
      </c>
      <c r="H96" s="79" t="s">
        <v>862</v>
      </c>
      <c r="I96" s="106" t="s">
        <v>1014</v>
      </c>
      <c r="J96" s="229" t="s">
        <v>893</v>
      </c>
      <c r="K96" s="230"/>
      <c r="N96" s="79" t="s">
        <v>985</v>
      </c>
      <c r="O96" s="106" t="s">
        <v>976</v>
      </c>
    </row>
    <row r="97" spans="1:16" ht="15" thickBot="1" x14ac:dyDescent="0.35">
      <c r="A97" s="78" t="s">
        <v>1015</v>
      </c>
      <c r="B97" s="96"/>
      <c r="C97" s="79" t="s">
        <v>1016</v>
      </c>
      <c r="D97" s="80">
        <v>2016</v>
      </c>
      <c r="E97" s="81" t="s">
        <v>77</v>
      </c>
      <c r="F97" s="81" t="s">
        <v>158</v>
      </c>
      <c r="G97" s="82">
        <v>9424.06</v>
      </c>
      <c r="H97" s="79" t="s">
        <v>852</v>
      </c>
      <c r="I97" s="106" t="s">
        <v>856</v>
      </c>
      <c r="J97" s="229" t="s">
        <v>893</v>
      </c>
      <c r="K97" s="230"/>
      <c r="N97" s="79" t="s">
        <v>320</v>
      </c>
      <c r="O97" s="108" t="s">
        <v>976</v>
      </c>
    </row>
    <row r="98" spans="1:16" ht="15" thickBot="1" x14ac:dyDescent="0.35">
      <c r="A98" s="78" t="s">
        <v>1017</v>
      </c>
      <c r="B98" s="96"/>
      <c r="C98" s="79" t="s">
        <v>1018</v>
      </c>
      <c r="D98" s="80">
        <v>2016</v>
      </c>
      <c r="E98" s="81" t="s">
        <v>96</v>
      </c>
      <c r="F98" s="81" t="s">
        <v>390</v>
      </c>
      <c r="G98" s="82">
        <v>9372.5</v>
      </c>
      <c r="H98" s="79" t="s">
        <v>855</v>
      </c>
      <c r="I98" s="106" t="s">
        <v>982</v>
      </c>
      <c r="J98" s="229" t="s">
        <v>867</v>
      </c>
      <c r="K98" s="230"/>
      <c r="N98" s="79" t="s">
        <v>320</v>
      </c>
      <c r="O98" s="106" t="s">
        <v>976</v>
      </c>
    </row>
    <row r="99" spans="1:16" ht="15" thickBot="1" x14ac:dyDescent="0.35">
      <c r="A99" s="78" t="s">
        <v>1019</v>
      </c>
      <c r="B99" s="96"/>
      <c r="C99" s="89" t="s">
        <v>1020</v>
      </c>
      <c r="D99" s="90">
        <v>2013</v>
      </c>
      <c r="E99" s="91" t="s">
        <v>29</v>
      </c>
      <c r="F99" s="91" t="s">
        <v>189</v>
      </c>
      <c r="G99" s="82">
        <v>8205.5</v>
      </c>
      <c r="H99" s="83" t="s">
        <v>859</v>
      </c>
      <c r="I99" s="106" t="s">
        <v>889</v>
      </c>
      <c r="J99" s="229" t="s">
        <v>948</v>
      </c>
      <c r="K99" s="229" t="s">
        <v>867</v>
      </c>
      <c r="L99" s="79"/>
      <c r="M99" s="79"/>
      <c r="N99" s="79" t="s">
        <v>320</v>
      </c>
      <c r="O99" s="108" t="s">
        <v>976</v>
      </c>
    </row>
    <row r="100" spans="1:16" ht="15" thickBot="1" x14ac:dyDescent="0.35">
      <c r="A100" s="78" t="s">
        <v>180</v>
      </c>
      <c r="B100" s="96"/>
      <c r="C100" s="79" t="s">
        <v>1021</v>
      </c>
      <c r="D100" s="80">
        <v>2001</v>
      </c>
      <c r="E100" s="81" t="s">
        <v>182</v>
      </c>
      <c r="F100" s="81" t="s">
        <v>183</v>
      </c>
      <c r="G100" s="82">
        <v>13660.5</v>
      </c>
      <c r="H100" s="79" t="s">
        <v>869</v>
      </c>
      <c r="I100" s="106" t="s">
        <v>870</v>
      </c>
      <c r="J100" s="229" t="s">
        <v>975</v>
      </c>
      <c r="K100" s="229" t="s">
        <v>870</v>
      </c>
      <c r="L100" s="79"/>
      <c r="M100" s="79"/>
      <c r="N100" s="79" t="s">
        <v>1022</v>
      </c>
      <c r="O100" s="106" t="s">
        <v>1023</v>
      </c>
      <c r="P100" s="106" t="s">
        <v>1220</v>
      </c>
    </row>
    <row r="101" spans="1:16" ht="15" thickBot="1" x14ac:dyDescent="0.35">
      <c r="A101" s="86" t="s">
        <v>1024</v>
      </c>
      <c r="B101" s="349"/>
      <c r="C101" s="79" t="s">
        <v>1025</v>
      </c>
      <c r="D101" s="80">
        <v>2013</v>
      </c>
      <c r="E101" s="81" t="s">
        <v>1026</v>
      </c>
      <c r="F101" s="81" t="s">
        <v>1027</v>
      </c>
      <c r="G101" s="82">
        <v>9413.2000000000007</v>
      </c>
      <c r="H101" s="83" t="s">
        <v>859</v>
      </c>
      <c r="I101" s="106" t="s">
        <v>889</v>
      </c>
      <c r="J101" s="229" t="s">
        <v>867</v>
      </c>
      <c r="K101" s="230"/>
      <c r="N101" s="79" t="s">
        <v>1028</v>
      </c>
      <c r="O101" s="106" t="s">
        <v>1029</v>
      </c>
    </row>
    <row r="102" spans="1:16" ht="15" thickBot="1" x14ac:dyDescent="0.35">
      <c r="A102" s="78" t="s">
        <v>1030</v>
      </c>
      <c r="B102" s="96"/>
      <c r="C102" s="79" t="s">
        <v>1031</v>
      </c>
      <c r="D102" s="80">
        <v>2013</v>
      </c>
      <c r="E102" s="81" t="s">
        <v>16</v>
      </c>
      <c r="F102" s="81" t="s">
        <v>17</v>
      </c>
      <c r="G102" s="82">
        <v>16817.53</v>
      </c>
      <c r="H102" s="79" t="s">
        <v>883</v>
      </c>
      <c r="I102" s="111" t="s">
        <v>860</v>
      </c>
      <c r="J102" s="229"/>
      <c r="K102" s="231" t="s">
        <v>895</v>
      </c>
      <c r="L102" s="84"/>
      <c r="M102" s="84"/>
      <c r="N102" s="79" t="s">
        <v>323</v>
      </c>
      <c r="O102" s="111" t="s">
        <v>849</v>
      </c>
    </row>
    <row r="103" spans="1:16" ht="15" thickBot="1" x14ac:dyDescent="0.35">
      <c r="A103" s="78" t="s">
        <v>27</v>
      </c>
      <c r="B103" s="96"/>
      <c r="C103" s="79" t="s">
        <v>1032</v>
      </c>
      <c r="D103" s="80">
        <v>2008</v>
      </c>
      <c r="E103" s="81" t="s">
        <v>29</v>
      </c>
      <c r="F103" s="81" t="s">
        <v>30</v>
      </c>
      <c r="G103" s="82">
        <v>9629.56</v>
      </c>
      <c r="H103" s="79" t="s">
        <v>859</v>
      </c>
      <c r="I103" s="106" t="s">
        <v>863</v>
      </c>
      <c r="J103" s="229"/>
      <c r="K103" s="229" t="s">
        <v>867</v>
      </c>
      <c r="L103" s="79"/>
      <c r="M103" s="79"/>
      <c r="N103" s="79" t="s">
        <v>323</v>
      </c>
      <c r="O103" s="106" t="s">
        <v>849</v>
      </c>
    </row>
    <row r="104" spans="1:16" ht="15" thickBot="1" x14ac:dyDescent="0.35">
      <c r="A104" s="78" t="s">
        <v>74</v>
      </c>
      <c r="B104" s="96"/>
      <c r="C104" s="79" t="s">
        <v>1033</v>
      </c>
      <c r="D104" s="80">
        <v>2012</v>
      </c>
      <c r="E104" s="81" t="s">
        <v>44</v>
      </c>
      <c r="F104" s="81" t="s">
        <v>76</v>
      </c>
      <c r="G104" s="82">
        <v>19476.25</v>
      </c>
      <c r="H104" s="79" t="s">
        <v>1034</v>
      </c>
      <c r="I104" s="106"/>
      <c r="J104" s="229"/>
      <c r="K104" s="230" t="s">
        <v>998</v>
      </c>
      <c r="N104" s="79" t="s">
        <v>1035</v>
      </c>
      <c r="O104" s="106" t="s">
        <v>849</v>
      </c>
    </row>
    <row r="105" spans="1:16" ht="15" thickBot="1" x14ac:dyDescent="0.35">
      <c r="A105" s="78" t="s">
        <v>1036</v>
      </c>
      <c r="B105" s="96"/>
      <c r="C105" s="79" t="s">
        <v>1037</v>
      </c>
      <c r="D105" s="80">
        <v>2009</v>
      </c>
      <c r="E105" s="81" t="s">
        <v>29</v>
      </c>
      <c r="F105" s="81" t="s">
        <v>30</v>
      </c>
      <c r="G105" s="82">
        <v>9961.32</v>
      </c>
      <c r="H105" s="83" t="s">
        <v>855</v>
      </c>
      <c r="I105" s="106" t="s">
        <v>855</v>
      </c>
      <c r="J105" s="229"/>
      <c r="K105" s="230" t="s">
        <v>870</v>
      </c>
      <c r="N105" s="79" t="s">
        <v>323</v>
      </c>
      <c r="O105" s="106" t="s">
        <v>849</v>
      </c>
    </row>
    <row r="106" spans="1:16" ht="15" thickBot="1" x14ac:dyDescent="0.35">
      <c r="A106" s="78" t="s">
        <v>95</v>
      </c>
      <c r="B106" s="96"/>
      <c r="C106" s="79" t="s">
        <v>1038</v>
      </c>
      <c r="D106" s="80">
        <v>2018</v>
      </c>
      <c r="E106" s="81" t="s">
        <v>96</v>
      </c>
      <c r="F106" s="81" t="s">
        <v>97</v>
      </c>
      <c r="G106" s="82">
        <v>29749.81</v>
      </c>
      <c r="H106" s="83" t="s">
        <v>1039</v>
      </c>
      <c r="I106" s="106" t="s">
        <v>996</v>
      </c>
      <c r="J106" s="229" t="s">
        <v>997</v>
      </c>
      <c r="K106" s="229" t="s">
        <v>1040</v>
      </c>
      <c r="L106" s="79"/>
      <c r="M106" s="79"/>
      <c r="N106" s="79" t="s">
        <v>320</v>
      </c>
      <c r="O106" s="108" t="s">
        <v>849</v>
      </c>
    </row>
    <row r="107" spans="1:16" ht="15" thickBot="1" x14ac:dyDescent="0.35">
      <c r="A107" s="78" t="s">
        <v>102</v>
      </c>
      <c r="B107" s="96"/>
      <c r="C107" s="79" t="s">
        <v>1041</v>
      </c>
      <c r="D107" s="80">
        <v>2013</v>
      </c>
      <c r="E107" s="81" t="s">
        <v>21</v>
      </c>
      <c r="F107" s="81" t="s">
        <v>103</v>
      </c>
      <c r="G107" s="82">
        <v>13686.95</v>
      </c>
      <c r="H107" s="83" t="s">
        <v>852</v>
      </c>
      <c r="I107" s="106" t="s">
        <v>895</v>
      </c>
      <c r="J107" s="229"/>
      <c r="K107" s="230" t="s">
        <v>889</v>
      </c>
      <c r="N107" s="79" t="s">
        <v>985</v>
      </c>
      <c r="O107" s="106" t="s">
        <v>849</v>
      </c>
    </row>
    <row r="108" spans="1:16" ht="15" thickBot="1" x14ac:dyDescent="0.35">
      <c r="A108" s="78" t="s">
        <v>115</v>
      </c>
      <c r="B108" s="96"/>
      <c r="C108" s="79" t="s">
        <v>1042</v>
      </c>
      <c r="D108" s="80">
        <v>2011</v>
      </c>
      <c r="E108" s="81" t="s">
        <v>16</v>
      </c>
      <c r="F108" s="81" t="s">
        <v>112</v>
      </c>
      <c r="G108" s="82">
        <v>12630.65</v>
      </c>
      <c r="H108" s="79" t="s">
        <v>862</v>
      </c>
      <c r="I108" s="106" t="s">
        <v>860</v>
      </c>
      <c r="J108" s="229"/>
      <c r="K108" s="230" t="s">
        <v>863</v>
      </c>
      <c r="N108" s="79" t="s">
        <v>320</v>
      </c>
      <c r="O108" s="108" t="s">
        <v>849</v>
      </c>
    </row>
    <row r="109" spans="1:16" ht="15" thickBot="1" x14ac:dyDescent="0.35">
      <c r="A109" s="78" t="s">
        <v>116</v>
      </c>
      <c r="B109" s="96"/>
      <c r="C109" s="79" t="s">
        <v>1043</v>
      </c>
      <c r="D109" s="80">
        <v>2012</v>
      </c>
      <c r="E109" s="81" t="s">
        <v>16</v>
      </c>
      <c r="F109" s="81" t="s">
        <v>17</v>
      </c>
      <c r="G109" s="82">
        <v>11089.48</v>
      </c>
      <c r="H109" s="79" t="s">
        <v>855</v>
      </c>
      <c r="I109" s="106" t="s">
        <v>856</v>
      </c>
      <c r="J109" s="229"/>
      <c r="K109" s="230" t="s">
        <v>975</v>
      </c>
      <c r="N109" s="79" t="s">
        <v>320</v>
      </c>
      <c r="O109" s="108" t="s">
        <v>849</v>
      </c>
    </row>
    <row r="110" spans="1:16" ht="15" thickBot="1" x14ac:dyDescent="0.35">
      <c r="A110" s="78" t="s">
        <v>125</v>
      </c>
      <c r="B110" s="96"/>
      <c r="C110" s="79" t="s">
        <v>1044</v>
      </c>
      <c r="D110" s="80">
        <v>2012</v>
      </c>
      <c r="E110" s="81" t="s">
        <v>21</v>
      </c>
      <c r="F110" s="81" t="s">
        <v>103</v>
      </c>
      <c r="G110" s="82">
        <v>11438.18</v>
      </c>
      <c r="H110" s="79" t="s">
        <v>862</v>
      </c>
      <c r="I110" s="106" t="s">
        <v>895</v>
      </c>
      <c r="J110" s="229"/>
      <c r="K110" s="230" t="s">
        <v>893</v>
      </c>
      <c r="N110" s="79" t="s">
        <v>320</v>
      </c>
      <c r="O110" s="106" t="s">
        <v>849</v>
      </c>
    </row>
    <row r="111" spans="1:16" ht="15" thickBot="1" x14ac:dyDescent="0.35">
      <c r="A111" s="78" t="s">
        <v>157</v>
      </c>
      <c r="B111" s="96"/>
      <c r="C111" s="79" t="s">
        <v>1045</v>
      </c>
      <c r="D111" s="80">
        <v>2015</v>
      </c>
      <c r="E111" s="81" t="s">
        <v>77</v>
      </c>
      <c r="F111" s="81" t="s">
        <v>158</v>
      </c>
      <c r="G111" s="82">
        <v>12484.41</v>
      </c>
      <c r="H111" s="83" t="s">
        <v>852</v>
      </c>
      <c r="I111" s="106" t="s">
        <v>895</v>
      </c>
      <c r="J111" s="229"/>
      <c r="K111" s="230" t="s">
        <v>865</v>
      </c>
      <c r="N111" s="79" t="s">
        <v>323</v>
      </c>
      <c r="O111" s="106" t="s">
        <v>849</v>
      </c>
    </row>
    <row r="112" spans="1:16" ht="15" thickBot="1" x14ac:dyDescent="0.35">
      <c r="A112" s="78" t="s">
        <v>844</v>
      </c>
      <c r="B112" s="96"/>
      <c r="C112" s="79" t="s">
        <v>1046</v>
      </c>
      <c r="D112" s="80">
        <v>2011</v>
      </c>
      <c r="E112" s="81" t="s">
        <v>212</v>
      </c>
      <c r="F112" s="81" t="s">
        <v>247</v>
      </c>
      <c r="G112" s="82">
        <v>11787.5</v>
      </c>
      <c r="H112" s="79" t="s">
        <v>855</v>
      </c>
      <c r="I112" s="106" t="s">
        <v>865</v>
      </c>
      <c r="J112" s="229"/>
      <c r="K112" s="229" t="s">
        <v>893</v>
      </c>
      <c r="L112" s="79"/>
      <c r="M112" s="79"/>
      <c r="N112" s="79" t="s">
        <v>26</v>
      </c>
      <c r="O112" s="106" t="s">
        <v>849</v>
      </c>
    </row>
    <row r="113" spans="1:16" ht="15" thickBot="1" x14ac:dyDescent="0.35">
      <c r="A113" s="78" t="s">
        <v>188</v>
      </c>
      <c r="B113" s="96"/>
      <c r="C113" s="79" t="s">
        <v>1047</v>
      </c>
      <c r="D113" s="80">
        <v>2015</v>
      </c>
      <c r="E113" s="81" t="s">
        <v>29</v>
      </c>
      <c r="F113" s="81" t="s">
        <v>189</v>
      </c>
      <c r="G113" s="82">
        <v>12560.5</v>
      </c>
      <c r="H113" s="83" t="s">
        <v>852</v>
      </c>
      <c r="I113" s="106">
        <v>10.5</v>
      </c>
      <c r="J113" s="229" t="s">
        <v>1048</v>
      </c>
      <c r="K113" s="229" t="s">
        <v>889</v>
      </c>
      <c r="L113" s="79"/>
      <c r="M113" s="79"/>
      <c r="N113" s="79" t="s">
        <v>320</v>
      </c>
      <c r="O113" s="106" t="s">
        <v>849</v>
      </c>
      <c r="P113" s="106" t="s">
        <v>1169</v>
      </c>
    </row>
    <row r="114" spans="1:16" ht="15" thickBot="1" x14ac:dyDescent="0.35">
      <c r="A114" s="78" t="s">
        <v>197</v>
      </c>
      <c r="B114" s="96"/>
      <c r="C114" s="79" t="s">
        <v>1049</v>
      </c>
      <c r="D114" s="80">
        <v>2012</v>
      </c>
      <c r="E114" s="81" t="s">
        <v>16</v>
      </c>
      <c r="F114" s="81" t="s">
        <v>198</v>
      </c>
      <c r="G114" s="82">
        <v>11128.75</v>
      </c>
      <c r="H114" s="79" t="s">
        <v>855</v>
      </c>
      <c r="I114" s="106">
        <v>9.5</v>
      </c>
      <c r="J114" s="229" t="s">
        <v>870</v>
      </c>
      <c r="K114" s="229" t="s">
        <v>893</v>
      </c>
      <c r="L114" s="79"/>
      <c r="M114" s="79"/>
      <c r="N114" s="79" t="s">
        <v>320</v>
      </c>
      <c r="O114" s="106" t="s">
        <v>849</v>
      </c>
    </row>
    <row r="115" spans="1:16" ht="15" thickBot="1" x14ac:dyDescent="0.35">
      <c r="A115" s="78" t="s">
        <v>203</v>
      </c>
      <c r="B115" s="96"/>
      <c r="C115" s="79" t="s">
        <v>1050</v>
      </c>
      <c r="D115" s="80">
        <v>2014</v>
      </c>
      <c r="E115" s="81" t="s">
        <v>29</v>
      </c>
      <c r="F115" s="81" t="s">
        <v>189</v>
      </c>
      <c r="G115" s="82">
        <v>11944.05</v>
      </c>
      <c r="H115" s="79" t="s">
        <v>862</v>
      </c>
      <c r="I115" s="106">
        <v>9.5</v>
      </c>
      <c r="J115" s="229" t="s">
        <v>1048</v>
      </c>
      <c r="K115" s="229" t="s">
        <v>901</v>
      </c>
      <c r="L115" s="79"/>
      <c r="M115" s="79"/>
      <c r="N115" s="79" t="s">
        <v>320</v>
      </c>
      <c r="O115" s="106" t="s">
        <v>849</v>
      </c>
    </row>
    <row r="116" spans="1:16" ht="15" thickBot="1" x14ac:dyDescent="0.35">
      <c r="A116" s="78" t="s">
        <v>205</v>
      </c>
      <c r="B116" s="96"/>
      <c r="C116" s="79" t="s">
        <v>1051</v>
      </c>
      <c r="D116" s="80">
        <v>2013</v>
      </c>
      <c r="E116" s="81" t="s">
        <v>123</v>
      </c>
      <c r="F116" s="81" t="s">
        <v>206</v>
      </c>
      <c r="G116" s="82">
        <v>15014</v>
      </c>
      <c r="H116" s="83" t="s">
        <v>887</v>
      </c>
      <c r="I116" s="106" t="s">
        <v>853</v>
      </c>
      <c r="J116" s="229"/>
      <c r="K116" s="229" t="s">
        <v>909</v>
      </c>
      <c r="L116" s="79"/>
      <c r="M116" s="79"/>
      <c r="N116" s="79" t="s">
        <v>320</v>
      </c>
      <c r="O116" s="106" t="s">
        <v>849</v>
      </c>
      <c r="P116" s="106" t="s">
        <v>1165</v>
      </c>
    </row>
    <row r="117" spans="1:16" ht="15" thickBot="1" x14ac:dyDescent="0.35">
      <c r="A117" s="78" t="s">
        <v>210</v>
      </c>
      <c r="B117" s="96"/>
      <c r="C117" s="79" t="s">
        <v>1052</v>
      </c>
      <c r="D117" s="80">
        <v>2013</v>
      </c>
      <c r="E117" s="81" t="s">
        <v>212</v>
      </c>
      <c r="F117" s="81" t="s">
        <v>213</v>
      </c>
      <c r="G117" s="82">
        <v>14764.85</v>
      </c>
      <c r="H117" s="79" t="s">
        <v>881</v>
      </c>
      <c r="I117" s="106" t="s">
        <v>1053</v>
      </c>
      <c r="J117" s="229"/>
      <c r="K117" s="229" t="s">
        <v>856</v>
      </c>
      <c r="L117" s="79"/>
      <c r="M117" s="79"/>
      <c r="N117" s="79" t="s">
        <v>320</v>
      </c>
      <c r="O117" s="106" t="s">
        <v>849</v>
      </c>
    </row>
    <row r="118" spans="1:16" ht="15" thickBot="1" x14ac:dyDescent="0.35">
      <c r="A118" s="78" t="s">
        <v>216</v>
      </c>
      <c r="B118" s="96"/>
      <c r="C118" s="79" t="s">
        <v>1054</v>
      </c>
      <c r="D118" s="80">
        <v>2010</v>
      </c>
      <c r="E118" s="81" t="s">
        <v>29</v>
      </c>
      <c r="F118" s="81" t="s">
        <v>217</v>
      </c>
      <c r="G118" s="82">
        <v>12732.05</v>
      </c>
      <c r="H118" s="79" t="s">
        <v>862</v>
      </c>
      <c r="I118" s="106" t="s">
        <v>865</v>
      </c>
      <c r="J118" s="229" t="s">
        <v>870</v>
      </c>
      <c r="K118" s="229" t="s">
        <v>901</v>
      </c>
      <c r="L118" s="79"/>
      <c r="M118" s="79"/>
      <c r="N118" s="79" t="s">
        <v>320</v>
      </c>
      <c r="O118" s="106" t="s">
        <v>849</v>
      </c>
    </row>
    <row r="119" spans="1:16" ht="15" thickBot="1" x14ac:dyDescent="0.35">
      <c r="A119" s="78" t="s">
        <v>221</v>
      </c>
      <c r="B119" s="96"/>
      <c r="C119" s="79" t="s">
        <v>1055</v>
      </c>
      <c r="D119" s="80">
        <v>2014</v>
      </c>
      <c r="E119" s="81" t="s">
        <v>16</v>
      </c>
      <c r="F119" s="81" t="s">
        <v>222</v>
      </c>
      <c r="G119" s="82">
        <v>15656.4</v>
      </c>
      <c r="H119" s="83" t="s">
        <v>959</v>
      </c>
      <c r="I119" s="106" t="s">
        <v>997</v>
      </c>
      <c r="J119" s="229" t="s">
        <v>856</v>
      </c>
      <c r="K119" s="229" t="s">
        <v>853</v>
      </c>
      <c r="L119" s="79"/>
      <c r="M119" s="79"/>
      <c r="N119" s="79" t="s">
        <v>320</v>
      </c>
      <c r="O119" s="106" t="s">
        <v>849</v>
      </c>
    </row>
    <row r="120" spans="1:16" ht="15" thickBot="1" x14ac:dyDescent="0.35">
      <c r="A120" s="78" t="s">
        <v>225</v>
      </c>
      <c r="B120" s="96"/>
      <c r="C120" s="79" t="s">
        <v>1056</v>
      </c>
      <c r="D120" s="80">
        <v>2012</v>
      </c>
      <c r="E120" s="81" t="s">
        <v>96</v>
      </c>
      <c r="F120" s="81" t="s">
        <v>226</v>
      </c>
      <c r="G120" s="82">
        <v>13373.27</v>
      </c>
      <c r="H120" s="83" t="s">
        <v>891</v>
      </c>
      <c r="I120" s="106" t="s">
        <v>1014</v>
      </c>
      <c r="J120" s="229"/>
      <c r="K120" s="229" t="s">
        <v>856</v>
      </c>
      <c r="L120" s="79"/>
      <c r="M120" s="79"/>
      <c r="N120" s="79" t="s">
        <v>320</v>
      </c>
      <c r="O120" s="106" t="s">
        <v>849</v>
      </c>
    </row>
    <row r="121" spans="1:16" ht="15" thickBot="1" x14ac:dyDescent="0.35">
      <c r="A121" s="78" t="s">
        <v>238</v>
      </c>
      <c r="B121" s="96"/>
      <c r="C121" s="79" t="s">
        <v>1057</v>
      </c>
      <c r="D121" s="80">
        <v>2016</v>
      </c>
      <c r="E121" s="81" t="s">
        <v>77</v>
      </c>
      <c r="F121" s="81" t="s">
        <v>158</v>
      </c>
      <c r="G121" s="82">
        <v>14062.67</v>
      </c>
      <c r="H121" s="83" t="s">
        <v>891</v>
      </c>
      <c r="I121" s="106" t="s">
        <v>940</v>
      </c>
      <c r="J121" s="229" t="s">
        <v>865</v>
      </c>
      <c r="K121" s="229" t="s">
        <v>860</v>
      </c>
      <c r="L121" s="79"/>
      <c r="M121" s="79"/>
      <c r="N121" s="79" t="s">
        <v>320</v>
      </c>
      <c r="O121" s="106" t="s">
        <v>849</v>
      </c>
    </row>
    <row r="122" spans="1:16" ht="15" thickBot="1" x14ac:dyDescent="0.35">
      <c r="A122" s="78" t="s">
        <v>240</v>
      </c>
      <c r="B122" s="96"/>
      <c r="C122" s="79" t="s">
        <v>1058</v>
      </c>
      <c r="D122" s="80">
        <v>2013</v>
      </c>
      <c r="E122" s="81" t="s">
        <v>96</v>
      </c>
      <c r="F122" s="81" t="s">
        <v>241</v>
      </c>
      <c r="G122" s="82">
        <v>10581.7</v>
      </c>
      <c r="H122" s="83" t="s">
        <v>852</v>
      </c>
      <c r="I122" s="106" t="s">
        <v>982</v>
      </c>
      <c r="J122" s="229" t="s">
        <v>867</v>
      </c>
      <c r="K122" s="229" t="s">
        <v>901</v>
      </c>
      <c r="L122" s="79"/>
      <c r="M122" s="79"/>
      <c r="N122" s="79" t="s">
        <v>320</v>
      </c>
      <c r="O122" s="106" t="s">
        <v>849</v>
      </c>
    </row>
    <row r="123" spans="1:16" ht="15" thickBot="1" x14ac:dyDescent="0.35">
      <c r="A123" s="78" t="s">
        <v>242</v>
      </c>
      <c r="B123" s="96"/>
      <c r="C123" s="79" t="s">
        <v>1059</v>
      </c>
      <c r="D123" s="80">
        <v>2011</v>
      </c>
      <c r="E123" s="81" t="s">
        <v>96</v>
      </c>
      <c r="F123" s="81" t="s">
        <v>97</v>
      </c>
      <c r="G123" s="82">
        <v>11619.5</v>
      </c>
      <c r="H123" s="79" t="s">
        <v>855</v>
      </c>
      <c r="I123" s="106" t="s">
        <v>860</v>
      </c>
      <c r="J123" s="229"/>
      <c r="K123" s="229" t="s">
        <v>893</v>
      </c>
      <c r="L123" s="79"/>
      <c r="M123" s="79"/>
      <c r="N123" s="79" t="s">
        <v>320</v>
      </c>
      <c r="O123" s="106" t="s">
        <v>849</v>
      </c>
    </row>
    <row r="124" spans="1:16" ht="15" thickBot="1" x14ac:dyDescent="0.35">
      <c r="A124" s="78" t="s">
        <v>246</v>
      </c>
      <c r="B124" s="96"/>
      <c r="C124" s="79" t="s">
        <v>1060</v>
      </c>
      <c r="D124" s="80">
        <v>2012</v>
      </c>
      <c r="E124" s="81" t="s">
        <v>212</v>
      </c>
      <c r="F124" s="81" t="s">
        <v>247</v>
      </c>
      <c r="G124" s="82">
        <v>10039.5</v>
      </c>
      <c r="H124" s="83" t="s">
        <v>855</v>
      </c>
      <c r="I124" s="106" t="s">
        <v>889</v>
      </c>
      <c r="J124" s="229"/>
      <c r="K124" s="229" t="s">
        <v>901</v>
      </c>
      <c r="L124" s="79"/>
      <c r="M124" s="79"/>
      <c r="N124" s="79" t="s">
        <v>320</v>
      </c>
      <c r="O124" s="106" t="s">
        <v>849</v>
      </c>
    </row>
    <row r="125" spans="1:16" ht="15" thickBot="1" x14ac:dyDescent="0.35">
      <c r="A125" s="78" t="s">
        <v>249</v>
      </c>
      <c r="B125" s="96"/>
      <c r="C125" s="79" t="s">
        <v>1061</v>
      </c>
      <c r="D125" s="80">
        <v>2012</v>
      </c>
      <c r="E125" s="81" t="s">
        <v>29</v>
      </c>
      <c r="F125" s="81" t="s">
        <v>189</v>
      </c>
      <c r="G125" s="82">
        <v>9906.0499999999993</v>
      </c>
      <c r="H125" s="79" t="s">
        <v>859</v>
      </c>
      <c r="I125" s="106" t="s">
        <v>865</v>
      </c>
      <c r="J125" s="229" t="s">
        <v>870</v>
      </c>
      <c r="K125" s="229" t="s">
        <v>863</v>
      </c>
      <c r="L125" s="79"/>
      <c r="M125" s="79"/>
      <c r="N125" s="79" t="s">
        <v>320</v>
      </c>
      <c r="O125" s="106" t="s">
        <v>849</v>
      </c>
    </row>
    <row r="126" spans="1:16" ht="15" thickBot="1" x14ac:dyDescent="0.35">
      <c r="A126" s="78" t="s">
        <v>272</v>
      </c>
      <c r="B126" s="96"/>
      <c r="C126" s="87" t="s">
        <v>1062</v>
      </c>
      <c r="D126" s="80">
        <v>2013</v>
      </c>
      <c r="E126" s="81" t="s">
        <v>29</v>
      </c>
      <c r="F126" s="81" t="s">
        <v>273</v>
      </c>
      <c r="G126" s="82">
        <v>14240.75</v>
      </c>
      <c r="H126" s="83" t="s">
        <v>959</v>
      </c>
      <c r="I126" s="106" t="s">
        <v>938</v>
      </c>
      <c r="J126" s="229"/>
      <c r="K126" s="229" t="s">
        <v>853</v>
      </c>
      <c r="L126" s="79"/>
      <c r="M126" s="79"/>
      <c r="N126" s="79" t="s">
        <v>320</v>
      </c>
      <c r="O126" s="106" t="s">
        <v>849</v>
      </c>
    </row>
    <row r="127" spans="1:16" ht="15" thickBot="1" x14ac:dyDescent="0.35">
      <c r="A127" s="78" t="s">
        <v>279</v>
      </c>
      <c r="B127" s="96"/>
      <c r="C127" s="89" t="s">
        <v>1063</v>
      </c>
      <c r="D127" s="90">
        <v>2014</v>
      </c>
      <c r="E127" s="91" t="s">
        <v>29</v>
      </c>
      <c r="F127" s="91" t="s">
        <v>281</v>
      </c>
      <c r="G127" s="82">
        <v>12539.5</v>
      </c>
      <c r="H127" s="92" t="s">
        <v>852</v>
      </c>
      <c r="I127" s="109" t="s">
        <v>1014</v>
      </c>
      <c r="J127" s="89" t="s">
        <v>1064</v>
      </c>
      <c r="K127" s="89" t="s">
        <v>860</v>
      </c>
      <c r="L127" s="89"/>
      <c r="M127" s="89"/>
      <c r="N127" s="79" t="s">
        <v>320</v>
      </c>
      <c r="O127" s="109" t="s">
        <v>849</v>
      </c>
    </row>
    <row r="128" spans="1:16" ht="15" thickBot="1" x14ac:dyDescent="0.35">
      <c r="A128" s="78" t="s">
        <v>285</v>
      </c>
      <c r="B128" s="96"/>
      <c r="C128" s="89" t="s">
        <v>1065</v>
      </c>
      <c r="D128" s="90">
        <v>2013</v>
      </c>
      <c r="E128" s="91" t="s">
        <v>29</v>
      </c>
      <c r="F128" s="91" t="s">
        <v>217</v>
      </c>
      <c r="G128" s="82">
        <v>13383.5</v>
      </c>
      <c r="H128" s="89" t="s">
        <v>959</v>
      </c>
      <c r="I128" s="109" t="s">
        <v>853</v>
      </c>
      <c r="J128" s="89" t="s">
        <v>863</v>
      </c>
      <c r="K128" s="89" t="s">
        <v>860</v>
      </c>
      <c r="L128" s="89"/>
      <c r="M128" s="89"/>
      <c r="N128" s="79" t="s">
        <v>320</v>
      </c>
      <c r="O128" s="109" t="s">
        <v>849</v>
      </c>
    </row>
    <row r="129" spans="1:15" ht="15" thickBot="1" x14ac:dyDescent="0.35">
      <c r="A129" s="78" t="s">
        <v>286</v>
      </c>
      <c r="B129" s="96"/>
      <c r="C129" s="89" t="s">
        <v>1066</v>
      </c>
      <c r="D129" s="90">
        <v>2012</v>
      </c>
      <c r="E129" s="91" t="s">
        <v>29</v>
      </c>
      <c r="F129" s="91" t="s">
        <v>288</v>
      </c>
      <c r="G129" s="82">
        <v>12980.35</v>
      </c>
      <c r="H129" s="92" t="s">
        <v>891</v>
      </c>
      <c r="I129" s="109" t="s">
        <v>1014</v>
      </c>
      <c r="J129" s="89"/>
      <c r="K129" s="89" t="s">
        <v>856</v>
      </c>
      <c r="L129" s="89"/>
      <c r="M129" s="89"/>
      <c r="N129" s="79" t="s">
        <v>320</v>
      </c>
      <c r="O129" s="109" t="s">
        <v>849</v>
      </c>
    </row>
    <row r="130" spans="1:15" ht="15" thickBot="1" x14ac:dyDescent="0.35">
      <c r="A130" s="78" t="s">
        <v>332</v>
      </c>
      <c r="B130" s="350"/>
      <c r="C130" s="92" t="s">
        <v>1067</v>
      </c>
      <c r="D130" s="92">
        <v>2014</v>
      </c>
      <c r="E130" s="92" t="s">
        <v>96</v>
      </c>
      <c r="F130" s="92" t="s">
        <v>322</v>
      </c>
      <c r="G130" s="82">
        <v>21282.2</v>
      </c>
      <c r="I130" s="108"/>
      <c r="J130" s="230"/>
      <c r="K130" s="230"/>
      <c r="N130" s="79" t="s">
        <v>323</v>
      </c>
      <c r="O130" s="107" t="s">
        <v>1068</v>
      </c>
    </row>
    <row r="131" spans="1:15" ht="15" thickBot="1" x14ac:dyDescent="0.35">
      <c r="A131" s="96" t="s">
        <v>321</v>
      </c>
      <c r="B131" s="96"/>
      <c r="C131" s="92" t="s">
        <v>1069</v>
      </c>
      <c r="D131" s="92">
        <v>2015</v>
      </c>
      <c r="E131" s="92" t="s">
        <v>96</v>
      </c>
      <c r="F131" s="92" t="s">
        <v>322</v>
      </c>
      <c r="G131" s="82">
        <v>20224.32</v>
      </c>
      <c r="I131" s="109" t="s">
        <v>1070</v>
      </c>
      <c r="J131" s="230"/>
      <c r="K131" s="230"/>
      <c r="N131" s="79" t="s">
        <v>323</v>
      </c>
      <c r="O131" s="107" t="s">
        <v>1071</v>
      </c>
    </row>
    <row r="132" spans="1:15" ht="15" thickBot="1" x14ac:dyDescent="0.35">
      <c r="A132" s="96" t="s">
        <v>35</v>
      </c>
      <c r="B132" s="96"/>
      <c r="C132" s="97" t="s">
        <v>1072</v>
      </c>
      <c r="D132" s="98">
        <v>2013</v>
      </c>
      <c r="E132" s="98" t="s">
        <v>37</v>
      </c>
      <c r="F132" s="98" t="s">
        <v>38</v>
      </c>
      <c r="G132" s="82">
        <v>25673.21</v>
      </c>
      <c r="H132" s="79" t="s">
        <v>1073</v>
      </c>
      <c r="I132" s="106" t="s">
        <v>1040</v>
      </c>
      <c r="J132" s="229"/>
      <c r="K132" s="230"/>
      <c r="N132" s="79" t="s">
        <v>320</v>
      </c>
      <c r="O132" s="109" t="s">
        <v>1074</v>
      </c>
    </row>
    <row r="133" spans="1:15" ht="15" thickBot="1" x14ac:dyDescent="0.35">
      <c r="A133" s="96" t="s">
        <v>42</v>
      </c>
      <c r="B133" s="96"/>
      <c r="C133" s="80" t="s">
        <v>1075</v>
      </c>
      <c r="D133" s="81">
        <v>2006</v>
      </c>
      <c r="E133" s="81" t="s">
        <v>44</v>
      </c>
      <c r="F133" s="81" t="s">
        <v>45</v>
      </c>
      <c r="G133" s="82">
        <v>8833.4</v>
      </c>
      <c r="H133" s="83" t="s">
        <v>862</v>
      </c>
      <c r="I133" s="106" t="s">
        <v>948</v>
      </c>
      <c r="J133" s="229"/>
      <c r="K133" s="230"/>
      <c r="N133" s="79" t="s">
        <v>1076</v>
      </c>
      <c r="O133" s="108"/>
    </row>
    <row r="134" spans="1:15" ht="15" thickBot="1" x14ac:dyDescent="0.35">
      <c r="A134" s="96" t="s">
        <v>1077</v>
      </c>
      <c r="B134" s="96"/>
      <c r="C134" s="80" t="s">
        <v>1078</v>
      </c>
      <c r="D134" s="81">
        <v>2019</v>
      </c>
      <c r="E134" s="81" t="s">
        <v>49</v>
      </c>
      <c r="F134" s="81" t="s">
        <v>52</v>
      </c>
      <c r="G134" s="82">
        <v>53314</v>
      </c>
      <c r="H134" s="79" t="s">
        <v>1079</v>
      </c>
      <c r="I134" s="106"/>
      <c r="J134" s="229" t="s">
        <v>1080</v>
      </c>
      <c r="K134" s="229" t="s">
        <v>1081</v>
      </c>
      <c r="L134" s="79"/>
      <c r="M134" s="79"/>
      <c r="N134" s="79" t="s">
        <v>1082</v>
      </c>
      <c r="O134" s="106" t="s">
        <v>1083</v>
      </c>
    </row>
    <row r="135" spans="1:15" ht="15" thickBot="1" x14ac:dyDescent="0.35">
      <c r="A135" s="96" t="s">
        <v>55</v>
      </c>
      <c r="B135" s="96"/>
      <c r="C135" s="80" t="s">
        <v>1084</v>
      </c>
      <c r="D135" s="81">
        <v>2010</v>
      </c>
      <c r="E135" s="81" t="s">
        <v>37</v>
      </c>
      <c r="F135" s="81" t="s">
        <v>56</v>
      </c>
      <c r="G135" s="82">
        <v>15028.66</v>
      </c>
      <c r="H135" s="83" t="s">
        <v>891</v>
      </c>
      <c r="I135" s="106" t="s">
        <v>853</v>
      </c>
      <c r="J135" s="229"/>
      <c r="K135" s="230"/>
      <c r="N135" s="79" t="s">
        <v>879</v>
      </c>
      <c r="O135" s="108"/>
    </row>
    <row r="136" spans="1:15" ht="15" thickBot="1" x14ac:dyDescent="0.35">
      <c r="A136" s="96" t="s">
        <v>1085</v>
      </c>
      <c r="B136" s="96"/>
      <c r="C136" s="80" t="s">
        <v>1086</v>
      </c>
      <c r="D136" s="81">
        <v>2012</v>
      </c>
      <c r="E136" s="81" t="s">
        <v>212</v>
      </c>
      <c r="F136" s="81" t="s">
        <v>284</v>
      </c>
      <c r="G136" s="82">
        <v>12501.66</v>
      </c>
      <c r="H136" s="83" t="s">
        <v>852</v>
      </c>
      <c r="I136" s="106" t="s">
        <v>863</v>
      </c>
      <c r="J136" s="229"/>
      <c r="K136" s="230"/>
      <c r="N136" s="79" t="s">
        <v>879</v>
      </c>
      <c r="O136" s="108"/>
    </row>
    <row r="137" spans="1:15" ht="15" thickBot="1" x14ac:dyDescent="0.35">
      <c r="A137" s="99" t="s">
        <v>61</v>
      </c>
      <c r="B137" s="96"/>
      <c r="C137" s="79" t="s">
        <v>1087</v>
      </c>
      <c r="D137" s="80">
        <v>2015</v>
      </c>
      <c r="E137" s="81" t="s">
        <v>37</v>
      </c>
      <c r="F137" s="81" t="s">
        <v>63</v>
      </c>
      <c r="G137" s="82">
        <v>26903.360000000001</v>
      </c>
      <c r="H137" s="79" t="s">
        <v>875</v>
      </c>
      <c r="I137" s="106" t="s">
        <v>998</v>
      </c>
      <c r="J137" s="229"/>
      <c r="K137" s="230"/>
      <c r="N137" s="79" t="s">
        <v>1035</v>
      </c>
      <c r="O137" s="108"/>
    </row>
    <row r="138" spans="1:15" ht="15" thickBot="1" x14ac:dyDescent="0.35">
      <c r="A138" s="78" t="s">
        <v>1088</v>
      </c>
      <c r="B138" s="350"/>
      <c r="C138" s="83" t="s">
        <v>1089</v>
      </c>
      <c r="D138" s="83">
        <v>2011</v>
      </c>
      <c r="E138" s="83" t="s">
        <v>212</v>
      </c>
      <c r="F138" s="83" t="s">
        <v>247</v>
      </c>
      <c r="G138" s="82">
        <v>9530.92</v>
      </c>
      <c r="H138" s="79" t="s">
        <v>859</v>
      </c>
      <c r="I138" s="106" t="s">
        <v>863</v>
      </c>
      <c r="J138" s="229"/>
      <c r="K138" s="229" t="s">
        <v>867</v>
      </c>
      <c r="L138" s="79"/>
      <c r="M138" s="79"/>
      <c r="N138" s="79" t="s">
        <v>323</v>
      </c>
      <c r="O138" s="108"/>
    </row>
    <row r="139" spans="1:15" ht="15" thickBot="1" x14ac:dyDescent="0.35">
      <c r="A139" s="78" t="s">
        <v>83</v>
      </c>
      <c r="B139" s="350"/>
      <c r="C139" s="83" t="s">
        <v>1090</v>
      </c>
      <c r="D139" s="83">
        <v>2013</v>
      </c>
      <c r="E139" s="83" t="s">
        <v>21</v>
      </c>
      <c r="F139" s="83" t="s">
        <v>84</v>
      </c>
      <c r="G139" s="82">
        <v>13990.54</v>
      </c>
      <c r="H139" s="79" t="s">
        <v>852</v>
      </c>
      <c r="I139" s="106" t="s">
        <v>862</v>
      </c>
      <c r="J139" s="229"/>
      <c r="K139" s="232">
        <v>7750</v>
      </c>
      <c r="L139" s="34"/>
      <c r="M139" s="34"/>
      <c r="N139" s="79" t="s">
        <v>879</v>
      </c>
      <c r="O139" s="108"/>
    </row>
    <row r="140" spans="1:15" ht="15" thickBot="1" x14ac:dyDescent="0.35">
      <c r="A140" s="78" t="s">
        <v>85</v>
      </c>
      <c r="B140" s="96"/>
      <c r="C140" s="79" t="s">
        <v>1091</v>
      </c>
      <c r="D140" s="97">
        <v>2012</v>
      </c>
      <c r="E140" s="98" t="s">
        <v>21</v>
      </c>
      <c r="F140" s="98" t="s">
        <v>86</v>
      </c>
      <c r="G140" s="82">
        <v>13917.01</v>
      </c>
      <c r="H140" s="83" t="s">
        <v>881</v>
      </c>
      <c r="I140" s="106" t="s">
        <v>1092</v>
      </c>
      <c r="J140" s="229"/>
      <c r="K140" s="230"/>
      <c r="N140" s="79" t="s">
        <v>879</v>
      </c>
      <c r="O140" s="108"/>
    </row>
    <row r="141" spans="1:15" ht="15" thickBot="1" x14ac:dyDescent="0.35">
      <c r="A141" s="96" t="s">
        <v>93</v>
      </c>
      <c r="B141" s="96"/>
      <c r="C141" s="97" t="s">
        <v>1093</v>
      </c>
      <c r="D141" s="81">
        <v>2015</v>
      </c>
      <c r="E141" s="81" t="s">
        <v>37</v>
      </c>
      <c r="F141" s="81" t="s">
        <v>38</v>
      </c>
      <c r="G141" s="82">
        <v>24423.41</v>
      </c>
      <c r="H141" s="79" t="s">
        <v>1094</v>
      </c>
      <c r="I141" s="106" t="s">
        <v>996</v>
      </c>
      <c r="J141" s="229"/>
      <c r="K141" s="230"/>
      <c r="N141" s="79" t="s">
        <v>1095</v>
      </c>
      <c r="O141" s="108"/>
    </row>
    <row r="142" spans="1:15" ht="15" thickBot="1" x14ac:dyDescent="0.35">
      <c r="A142" s="100" t="s">
        <v>104</v>
      </c>
      <c r="B142" s="352"/>
      <c r="C142" s="81" t="s">
        <v>1096</v>
      </c>
      <c r="D142" s="81">
        <v>2010</v>
      </c>
      <c r="E142" s="81" t="s">
        <v>49</v>
      </c>
      <c r="F142" s="81" t="s">
        <v>52</v>
      </c>
      <c r="G142" s="82">
        <v>15035.55</v>
      </c>
      <c r="H142" s="79" t="s">
        <v>891</v>
      </c>
      <c r="I142" s="106" t="s">
        <v>860</v>
      </c>
      <c r="J142" s="229"/>
      <c r="K142" s="230"/>
      <c r="N142" s="79" t="s">
        <v>320</v>
      </c>
      <c r="O142" s="106" t="s">
        <v>1074</v>
      </c>
    </row>
    <row r="143" spans="1:15" ht="15" thickBot="1" x14ac:dyDescent="0.35">
      <c r="A143" s="78" t="s">
        <v>111</v>
      </c>
      <c r="B143" s="352"/>
      <c r="C143" s="81" t="s">
        <v>1097</v>
      </c>
      <c r="D143" s="81">
        <v>2010</v>
      </c>
      <c r="E143" s="81" t="s">
        <v>16</v>
      </c>
      <c r="F143" s="81" t="s">
        <v>112</v>
      </c>
      <c r="G143" s="82">
        <v>12441.4</v>
      </c>
      <c r="H143" s="83" t="s">
        <v>883</v>
      </c>
      <c r="I143" s="106" t="s">
        <v>856</v>
      </c>
      <c r="J143" s="229"/>
      <c r="K143" s="230" t="s">
        <v>863</v>
      </c>
      <c r="N143" s="79" t="s">
        <v>1098</v>
      </c>
      <c r="O143" s="106" t="s">
        <v>1099</v>
      </c>
    </row>
    <row r="144" spans="1:15" ht="15" thickBot="1" x14ac:dyDescent="0.35">
      <c r="A144" s="78" t="s">
        <v>128</v>
      </c>
      <c r="B144" s="352"/>
      <c r="C144" s="81" t="s">
        <v>1100</v>
      </c>
      <c r="D144" s="81">
        <v>2011</v>
      </c>
      <c r="E144" s="81" t="s">
        <v>21</v>
      </c>
      <c r="F144" s="81" t="s">
        <v>127</v>
      </c>
      <c r="G144" s="82">
        <v>11288.49</v>
      </c>
      <c r="H144" s="83" t="s">
        <v>855</v>
      </c>
      <c r="I144" s="106" t="s">
        <v>895</v>
      </c>
      <c r="J144" s="229"/>
      <c r="K144" s="230"/>
      <c r="N144" s="79" t="s">
        <v>1035</v>
      </c>
      <c r="O144" s="108"/>
    </row>
    <row r="145" spans="1:15" ht="15" thickBot="1" x14ac:dyDescent="0.35">
      <c r="A145" s="78" t="s">
        <v>133</v>
      </c>
      <c r="B145" s="352"/>
      <c r="C145" s="81" t="s">
        <v>1101</v>
      </c>
      <c r="D145" s="81">
        <v>2011</v>
      </c>
      <c r="E145" s="81" t="s">
        <v>21</v>
      </c>
      <c r="F145" s="81" t="s">
        <v>109</v>
      </c>
      <c r="G145" s="82">
        <v>12889.75</v>
      </c>
      <c r="H145" s="83" t="s">
        <v>883</v>
      </c>
      <c r="I145" s="106" t="s">
        <v>909</v>
      </c>
      <c r="J145" s="229"/>
      <c r="K145" s="230"/>
      <c r="N145" s="79" t="s">
        <v>1035</v>
      </c>
      <c r="O145" s="108"/>
    </row>
    <row r="146" spans="1:15" ht="15" thickBot="1" x14ac:dyDescent="0.35">
      <c r="A146" s="78" t="s">
        <v>137</v>
      </c>
      <c r="B146" s="352"/>
      <c r="C146" s="81" t="s">
        <v>1102</v>
      </c>
      <c r="D146" s="81">
        <v>2015</v>
      </c>
      <c r="E146" s="81" t="s">
        <v>77</v>
      </c>
      <c r="F146" s="81" t="s">
        <v>138</v>
      </c>
      <c r="G146" s="82">
        <v>18577.060000000001</v>
      </c>
      <c r="H146" s="83" t="s">
        <v>881</v>
      </c>
      <c r="I146" s="106" t="s">
        <v>1053</v>
      </c>
      <c r="J146" s="229"/>
      <c r="K146" s="230"/>
      <c r="N146" s="79" t="s">
        <v>1035</v>
      </c>
      <c r="O146" s="108"/>
    </row>
    <row r="147" spans="1:15" ht="15" thickBot="1" x14ac:dyDescent="0.35">
      <c r="A147" s="78" t="s">
        <v>141</v>
      </c>
      <c r="B147" s="352"/>
      <c r="C147" s="81" t="s">
        <v>1103</v>
      </c>
      <c r="D147" s="81">
        <v>2014</v>
      </c>
      <c r="E147" s="81" t="s">
        <v>37</v>
      </c>
      <c r="F147" s="81" t="s">
        <v>142</v>
      </c>
      <c r="G147" s="82">
        <v>24390.94</v>
      </c>
      <c r="H147" s="79" t="s">
        <v>1073</v>
      </c>
      <c r="I147" s="106"/>
      <c r="J147" s="229"/>
      <c r="K147" s="230"/>
      <c r="N147" s="79" t="s">
        <v>1035</v>
      </c>
      <c r="O147" s="108"/>
    </row>
    <row r="148" spans="1:15" ht="15" thickBot="1" x14ac:dyDescent="0.35">
      <c r="A148" s="101" t="s">
        <v>146</v>
      </c>
      <c r="B148" s="353"/>
      <c r="C148" s="81" t="s">
        <v>1104</v>
      </c>
      <c r="D148" s="81">
        <v>2013</v>
      </c>
      <c r="E148" s="81" t="s">
        <v>21</v>
      </c>
      <c r="F148" s="81" t="s">
        <v>84</v>
      </c>
      <c r="G148" s="82">
        <v>10586.33</v>
      </c>
      <c r="H148" s="83" t="s">
        <v>862</v>
      </c>
      <c r="I148" s="106" t="s">
        <v>889</v>
      </c>
      <c r="J148" s="229"/>
      <c r="K148" s="230"/>
      <c r="N148" s="79" t="s">
        <v>1105</v>
      </c>
      <c r="O148" s="108"/>
    </row>
    <row r="149" spans="1:15" ht="15" thickBot="1" x14ac:dyDescent="0.35">
      <c r="A149" s="78" t="s">
        <v>148</v>
      </c>
      <c r="B149" s="352"/>
      <c r="C149" s="81" t="s">
        <v>1106</v>
      </c>
      <c r="D149" s="81">
        <v>2010</v>
      </c>
      <c r="E149" s="81" t="s">
        <v>123</v>
      </c>
      <c r="F149" s="81" t="s">
        <v>150</v>
      </c>
      <c r="G149" s="82">
        <v>12650.12</v>
      </c>
      <c r="H149" s="79" t="s">
        <v>852</v>
      </c>
      <c r="I149" s="106" t="s">
        <v>856</v>
      </c>
      <c r="J149" s="229"/>
      <c r="K149" s="230"/>
      <c r="N149" s="79" t="s">
        <v>1035</v>
      </c>
      <c r="O149" s="108"/>
    </row>
    <row r="150" spans="1:15" ht="15" thickBot="1" x14ac:dyDescent="0.35">
      <c r="A150" s="78" t="s">
        <v>155</v>
      </c>
      <c r="B150" s="352"/>
      <c r="C150" s="81" t="s">
        <v>1107</v>
      </c>
      <c r="D150" s="81">
        <v>2012</v>
      </c>
      <c r="E150" s="81" t="s">
        <v>21</v>
      </c>
      <c r="F150" s="81" t="s">
        <v>156</v>
      </c>
      <c r="G150" s="82">
        <v>16476.240000000002</v>
      </c>
      <c r="H150" s="83" t="s">
        <v>883</v>
      </c>
      <c r="I150" s="106" t="s">
        <v>1053</v>
      </c>
      <c r="J150" s="229"/>
      <c r="K150" s="230"/>
      <c r="N150" s="79" t="s">
        <v>1035</v>
      </c>
      <c r="O150" s="108"/>
    </row>
    <row r="151" spans="1:15" ht="15" thickBot="1" x14ac:dyDescent="0.35">
      <c r="A151" s="78" t="s">
        <v>159</v>
      </c>
      <c r="B151" s="352"/>
      <c r="C151" s="81" t="s">
        <v>1108</v>
      </c>
      <c r="D151" s="81">
        <v>2016</v>
      </c>
      <c r="E151" s="81" t="s">
        <v>16</v>
      </c>
      <c r="F151" s="81" t="s">
        <v>160</v>
      </c>
      <c r="G151" s="82">
        <v>23382.03</v>
      </c>
      <c r="H151" s="79" t="s">
        <v>875</v>
      </c>
      <c r="I151" s="106" t="s">
        <v>1040</v>
      </c>
      <c r="J151" s="229"/>
      <c r="K151" s="230"/>
      <c r="N151" s="79" t="s">
        <v>1035</v>
      </c>
      <c r="O151" s="108"/>
    </row>
    <row r="152" spans="1:15" ht="15" thickBot="1" x14ac:dyDescent="0.35">
      <c r="A152" s="78" t="s">
        <v>163</v>
      </c>
      <c r="B152" s="352"/>
      <c r="C152" s="81" t="s">
        <v>1109</v>
      </c>
      <c r="D152" s="81">
        <v>2015</v>
      </c>
      <c r="E152" s="81" t="s">
        <v>49</v>
      </c>
      <c r="F152" s="81" t="s">
        <v>164</v>
      </c>
      <c r="G152" s="82">
        <v>13030.4</v>
      </c>
      <c r="H152" s="83" t="s">
        <v>852</v>
      </c>
      <c r="I152" s="106" t="s">
        <v>865</v>
      </c>
      <c r="J152" s="229"/>
      <c r="K152" s="230"/>
      <c r="N152" s="79" t="s">
        <v>320</v>
      </c>
      <c r="O152" s="108"/>
    </row>
    <row r="153" spans="1:15" ht="15" thickBot="1" x14ac:dyDescent="0.35">
      <c r="A153" s="78" t="s">
        <v>165</v>
      </c>
      <c r="B153" s="352"/>
      <c r="C153" s="81" t="s">
        <v>1110</v>
      </c>
      <c r="D153" s="81">
        <v>2010</v>
      </c>
      <c r="E153" s="81" t="s">
        <v>96</v>
      </c>
      <c r="F153" s="81" t="s">
        <v>97</v>
      </c>
      <c r="G153" s="82">
        <v>11033.97</v>
      </c>
      <c r="H153" s="79" t="s">
        <v>859</v>
      </c>
      <c r="I153" s="106" t="s">
        <v>863</v>
      </c>
      <c r="J153" s="229"/>
      <c r="K153" s="230"/>
      <c r="N153" s="79" t="s">
        <v>320</v>
      </c>
      <c r="O153" s="108"/>
    </row>
    <row r="154" spans="1:15" ht="15" thickBot="1" x14ac:dyDescent="0.35">
      <c r="A154" s="78" t="s">
        <v>171</v>
      </c>
      <c r="B154" s="352"/>
      <c r="C154" s="81" t="s">
        <v>1111</v>
      </c>
      <c r="D154" s="81">
        <v>2011</v>
      </c>
      <c r="E154" s="81" t="s">
        <v>123</v>
      </c>
      <c r="F154" s="81" t="s">
        <v>173</v>
      </c>
      <c r="G154" s="82">
        <v>15147.5</v>
      </c>
      <c r="H154" s="83" t="s">
        <v>852</v>
      </c>
      <c r="I154" s="106" t="s">
        <v>856</v>
      </c>
      <c r="J154" s="229"/>
      <c r="K154" s="230"/>
      <c r="N154" s="79" t="s">
        <v>1035</v>
      </c>
      <c r="O154" s="108"/>
    </row>
    <row r="155" spans="1:15" ht="15" thickBot="1" x14ac:dyDescent="0.35">
      <c r="A155" s="78" t="s">
        <v>174</v>
      </c>
      <c r="B155" s="352"/>
      <c r="C155" s="81" t="s">
        <v>1112</v>
      </c>
      <c r="D155" s="81">
        <v>2012</v>
      </c>
      <c r="E155" s="81" t="s">
        <v>21</v>
      </c>
      <c r="F155" s="81" t="s">
        <v>86</v>
      </c>
      <c r="G155" s="82">
        <v>13838.4</v>
      </c>
      <c r="H155" s="83" t="s">
        <v>852</v>
      </c>
      <c r="I155" s="106" t="s">
        <v>853</v>
      </c>
      <c r="J155" s="229"/>
      <c r="K155" s="230"/>
      <c r="N155" s="79" t="s">
        <v>320</v>
      </c>
      <c r="O155" s="108"/>
    </row>
    <row r="156" spans="1:15" ht="15" thickBot="1" x14ac:dyDescent="0.35">
      <c r="A156" s="78" t="s">
        <v>191</v>
      </c>
      <c r="B156" s="352"/>
      <c r="C156" s="81" t="s">
        <v>1113</v>
      </c>
      <c r="D156" s="81">
        <v>2013</v>
      </c>
      <c r="E156" s="81" t="s">
        <v>21</v>
      </c>
      <c r="F156" s="81" t="s">
        <v>86</v>
      </c>
      <c r="G156" s="82">
        <v>16759.8</v>
      </c>
      <c r="H156" s="83" t="s">
        <v>887</v>
      </c>
      <c r="I156" s="106" t="s">
        <v>904</v>
      </c>
      <c r="J156" s="229"/>
      <c r="K156" s="230"/>
      <c r="N156" s="79" t="s">
        <v>1035</v>
      </c>
      <c r="O156" s="108"/>
    </row>
    <row r="157" spans="1:15" ht="15" thickBot="1" x14ac:dyDescent="0.35">
      <c r="A157" s="78" t="s">
        <v>192</v>
      </c>
      <c r="B157" s="352"/>
      <c r="C157" s="81" t="s">
        <v>1114</v>
      </c>
      <c r="D157" s="81">
        <v>2011</v>
      </c>
      <c r="E157" s="81" t="s">
        <v>21</v>
      </c>
      <c r="F157" s="81" t="s">
        <v>193</v>
      </c>
      <c r="G157" s="82">
        <v>15355.6</v>
      </c>
      <c r="H157" s="83" t="s">
        <v>881</v>
      </c>
      <c r="I157" s="106"/>
      <c r="J157" s="229"/>
      <c r="K157" s="230"/>
      <c r="N157" s="79" t="s">
        <v>1115</v>
      </c>
      <c r="O157" s="108"/>
    </row>
    <row r="158" spans="1:15" ht="15" thickBot="1" x14ac:dyDescent="0.35">
      <c r="A158" s="78" t="s">
        <v>223</v>
      </c>
      <c r="B158" s="352"/>
      <c r="C158" s="81" t="s">
        <v>1116</v>
      </c>
      <c r="D158" s="81">
        <v>2008</v>
      </c>
      <c r="E158" s="81" t="s">
        <v>96</v>
      </c>
      <c r="F158" s="81" t="s">
        <v>224</v>
      </c>
      <c r="G158" s="82">
        <v>7746.95</v>
      </c>
      <c r="H158" s="79" t="s">
        <v>859</v>
      </c>
      <c r="I158" s="106" t="s">
        <v>870</v>
      </c>
      <c r="J158" s="229"/>
      <c r="K158" s="230"/>
      <c r="N158" s="79" t="s">
        <v>1035</v>
      </c>
      <c r="O158" s="108"/>
    </row>
    <row r="159" spans="1:15" ht="15" thickBot="1" x14ac:dyDescent="0.35">
      <c r="A159" s="78" t="s">
        <v>235</v>
      </c>
      <c r="B159" s="352"/>
      <c r="C159" s="81" t="s">
        <v>1117</v>
      </c>
      <c r="D159" s="81">
        <v>2008</v>
      </c>
      <c r="E159" s="81" t="s">
        <v>37</v>
      </c>
      <c r="F159" s="81" t="s">
        <v>236</v>
      </c>
      <c r="G159" s="82">
        <v>10518.5</v>
      </c>
      <c r="H159" s="79" t="s">
        <v>859</v>
      </c>
      <c r="I159" s="106" t="s">
        <v>889</v>
      </c>
      <c r="J159" s="229"/>
      <c r="K159" s="230"/>
      <c r="N159" s="79" t="s">
        <v>1118</v>
      </c>
      <c r="O159" s="108"/>
    </row>
    <row r="160" spans="1:15" ht="15" thickBot="1" x14ac:dyDescent="0.35">
      <c r="A160" s="78" t="s">
        <v>1119</v>
      </c>
      <c r="B160" s="352"/>
      <c r="C160" s="81" t="s">
        <v>1120</v>
      </c>
      <c r="D160" s="81">
        <v>2012</v>
      </c>
      <c r="E160" s="81" t="s">
        <v>77</v>
      </c>
      <c r="F160" s="81" t="s">
        <v>138</v>
      </c>
      <c r="G160" s="82">
        <v>13384.07</v>
      </c>
      <c r="H160" s="79" t="s">
        <v>887</v>
      </c>
      <c r="I160" s="106" t="s">
        <v>856</v>
      </c>
      <c r="J160" s="229" t="s">
        <v>889</v>
      </c>
      <c r="K160" s="230"/>
      <c r="N160" s="79" t="s">
        <v>320</v>
      </c>
      <c r="O160" s="108"/>
    </row>
    <row r="161" spans="1:15" ht="15" thickBot="1" x14ac:dyDescent="0.35">
      <c r="A161" s="78" t="s">
        <v>250</v>
      </c>
      <c r="B161" s="352"/>
      <c r="C161" s="81" t="s">
        <v>1121</v>
      </c>
      <c r="D161" s="81">
        <v>2013</v>
      </c>
      <c r="E161" s="81" t="s">
        <v>96</v>
      </c>
      <c r="F161" s="81" t="s">
        <v>241</v>
      </c>
      <c r="G161" s="82">
        <v>13184.98</v>
      </c>
      <c r="H161" s="79" t="s">
        <v>852</v>
      </c>
      <c r="I161" s="106" t="s">
        <v>860</v>
      </c>
      <c r="J161" s="229" t="s">
        <v>867</v>
      </c>
      <c r="K161" s="230"/>
      <c r="N161" s="79" t="s">
        <v>320</v>
      </c>
      <c r="O161" s="108"/>
    </row>
    <row r="162" spans="1:15" ht="15" thickBot="1" x14ac:dyDescent="0.35">
      <c r="A162" s="78" t="s">
        <v>256</v>
      </c>
      <c r="B162" s="352"/>
      <c r="C162" s="81" t="s">
        <v>1122</v>
      </c>
      <c r="D162" s="81">
        <v>2016</v>
      </c>
      <c r="E162" s="81" t="s">
        <v>123</v>
      </c>
      <c r="F162" s="81" t="s">
        <v>206</v>
      </c>
      <c r="G162" s="82">
        <v>19414.599999999999</v>
      </c>
      <c r="H162" s="83" t="s">
        <v>959</v>
      </c>
      <c r="I162" s="106" t="s">
        <v>932</v>
      </c>
      <c r="J162" s="229"/>
      <c r="K162" s="230"/>
      <c r="N162" s="79" t="s">
        <v>1123</v>
      </c>
      <c r="O162" s="108"/>
    </row>
    <row r="163" spans="1:15" ht="15" thickBot="1" x14ac:dyDescent="0.35">
      <c r="A163" s="78" t="s">
        <v>312</v>
      </c>
      <c r="B163" s="352"/>
      <c r="C163" s="91" t="s">
        <v>1124</v>
      </c>
      <c r="D163" s="91">
        <v>1988</v>
      </c>
      <c r="E163" s="91" t="s">
        <v>314</v>
      </c>
      <c r="F163" s="91" t="s">
        <v>315</v>
      </c>
      <c r="G163" s="82">
        <v>32157.3</v>
      </c>
      <c r="I163" s="109" t="s">
        <v>1081</v>
      </c>
      <c r="J163" s="230"/>
      <c r="K163" s="230"/>
      <c r="N163" s="79" t="s">
        <v>320</v>
      </c>
      <c r="O163" s="108"/>
    </row>
    <row r="164" spans="1:15" ht="15" thickBot="1" x14ac:dyDescent="0.35">
      <c r="A164" s="78" t="s">
        <v>318</v>
      </c>
      <c r="B164" s="352"/>
      <c r="C164" s="91" t="s">
        <v>1125</v>
      </c>
      <c r="D164" s="91">
        <v>2008</v>
      </c>
      <c r="E164" s="91" t="s">
        <v>96</v>
      </c>
      <c r="F164" s="91" t="s">
        <v>97</v>
      </c>
      <c r="G164" s="82">
        <v>10221.92</v>
      </c>
      <c r="H164" s="92" t="s">
        <v>914</v>
      </c>
      <c r="I164" s="109" t="s">
        <v>863</v>
      </c>
      <c r="J164" s="89"/>
      <c r="K164" s="230"/>
      <c r="N164" s="79" t="s">
        <v>1126</v>
      </c>
      <c r="O164" s="108"/>
    </row>
    <row r="165" spans="1:15" ht="15" thickBot="1" x14ac:dyDescent="0.35">
      <c r="A165" s="78" t="s">
        <v>328</v>
      </c>
      <c r="B165" s="352"/>
      <c r="C165" s="91" t="s">
        <v>1127</v>
      </c>
      <c r="D165" s="91">
        <v>2015</v>
      </c>
      <c r="E165" s="91" t="s">
        <v>96</v>
      </c>
      <c r="F165" s="91" t="s">
        <v>322</v>
      </c>
      <c r="G165" s="82">
        <v>18819.509999999998</v>
      </c>
      <c r="I165" s="109" t="s">
        <v>1128</v>
      </c>
      <c r="J165" s="230"/>
      <c r="K165" s="230"/>
      <c r="N165" s="79" t="s">
        <v>320</v>
      </c>
      <c r="O165" s="108"/>
    </row>
    <row r="166" spans="1:15" ht="15" thickBot="1" x14ac:dyDescent="0.35">
      <c r="A166" s="78" t="s">
        <v>348</v>
      </c>
      <c r="B166" s="352"/>
      <c r="C166" s="91" t="s">
        <v>1129</v>
      </c>
      <c r="D166" s="91">
        <v>2008</v>
      </c>
      <c r="E166" s="91" t="s">
        <v>21</v>
      </c>
      <c r="F166" s="91" t="s">
        <v>349</v>
      </c>
      <c r="G166" s="82">
        <v>13965.85</v>
      </c>
      <c r="H166" s="89" t="s">
        <v>855</v>
      </c>
      <c r="I166" s="109" t="s">
        <v>1014</v>
      </c>
      <c r="J166" s="89"/>
      <c r="K166" s="230"/>
      <c r="N166" s="79" t="s">
        <v>1130</v>
      </c>
      <c r="O166" s="108"/>
    </row>
    <row r="167" spans="1:15" ht="15" thickBot="1" x14ac:dyDescent="0.35">
      <c r="A167" s="78" t="s">
        <v>407</v>
      </c>
      <c r="B167" s="352"/>
      <c r="C167" s="91" t="s">
        <v>1131</v>
      </c>
      <c r="D167" s="91">
        <v>2015</v>
      </c>
      <c r="E167" s="91" t="s">
        <v>21</v>
      </c>
      <c r="F167" s="91" t="s">
        <v>408</v>
      </c>
      <c r="G167" s="82">
        <v>14611.7</v>
      </c>
      <c r="H167" s="92" t="s">
        <v>891</v>
      </c>
      <c r="I167" s="109" t="s">
        <v>1053</v>
      </c>
      <c r="J167" s="89"/>
      <c r="K167" s="230"/>
      <c r="N167" s="79" t="s">
        <v>323</v>
      </c>
      <c r="O167" s="108"/>
    </row>
    <row r="168" spans="1:15" ht="15" thickBot="1" x14ac:dyDescent="0.35">
      <c r="A168" s="78" t="s">
        <v>456</v>
      </c>
      <c r="B168" s="352"/>
      <c r="C168" s="91" t="s">
        <v>1132</v>
      </c>
      <c r="D168" s="91">
        <v>2011</v>
      </c>
      <c r="E168" s="91" t="s">
        <v>21</v>
      </c>
      <c r="F168" s="91" t="s">
        <v>458</v>
      </c>
      <c r="G168" s="82">
        <v>13564.9</v>
      </c>
      <c r="H168" s="89" t="s">
        <v>881</v>
      </c>
      <c r="I168" s="109" t="s">
        <v>940</v>
      </c>
      <c r="J168" s="89"/>
      <c r="K168" s="230"/>
      <c r="N168" s="79" t="s">
        <v>1118</v>
      </c>
      <c r="O168" s="108"/>
    </row>
    <row r="170" spans="1:15" x14ac:dyDescent="0.3">
      <c r="A170" s="341" t="s">
        <v>1567</v>
      </c>
    </row>
    <row r="173" spans="1:15" x14ac:dyDescent="0.3">
      <c r="A173" s="152" t="s">
        <v>1321</v>
      </c>
      <c r="B173" s="12" t="s">
        <v>1523</v>
      </c>
      <c r="C173" s="228">
        <v>176000</v>
      </c>
      <c r="D173" s="354">
        <v>2009</v>
      </c>
      <c r="E173" s="12" t="s">
        <v>1317</v>
      </c>
      <c r="F173" s="12" t="s">
        <v>1320</v>
      </c>
      <c r="G173" s="12" t="s">
        <v>1187</v>
      </c>
    </row>
    <row r="174" spans="1:15" x14ac:dyDescent="0.3">
      <c r="A174" s="227" t="s">
        <v>1333</v>
      </c>
      <c r="B174" s="345" t="s">
        <v>1552</v>
      </c>
      <c r="C174" s="228">
        <v>135526</v>
      </c>
      <c r="D174" s="356">
        <v>2010</v>
      </c>
      <c r="E174" s="197" t="s">
        <v>96</v>
      </c>
      <c r="F174" s="197" t="s">
        <v>97</v>
      </c>
      <c r="G174" s="197" t="s">
        <v>1187</v>
      </c>
    </row>
    <row r="175" spans="1:15" x14ac:dyDescent="0.3">
      <c r="A175" s="47" t="s">
        <v>513</v>
      </c>
      <c r="B175" s="22" t="s">
        <v>1471</v>
      </c>
      <c r="C175" s="360" t="s">
        <v>1568</v>
      </c>
      <c r="D175" s="357">
        <v>2011</v>
      </c>
      <c r="E175" s="266" t="s">
        <v>96</v>
      </c>
      <c r="F175" s="266" t="s">
        <v>97</v>
      </c>
    </row>
    <row r="176" spans="1:15" x14ac:dyDescent="0.3">
      <c r="A176" s="113" t="s">
        <v>1168</v>
      </c>
      <c r="B176" s="249" t="s">
        <v>1523</v>
      </c>
      <c r="C176" s="359"/>
      <c r="D176" s="358" t="s">
        <v>278</v>
      </c>
      <c r="E176" s="260" t="s">
        <v>77</v>
      </c>
      <c r="F176" s="260" t="s">
        <v>1268</v>
      </c>
    </row>
    <row r="177" spans="1:9" x14ac:dyDescent="0.3">
      <c r="A177" s="227" t="s">
        <v>1336</v>
      </c>
      <c r="B177" s="345" t="s">
        <v>1523</v>
      </c>
      <c r="C177" s="228">
        <v>113060</v>
      </c>
      <c r="D177" s="356">
        <v>2009</v>
      </c>
      <c r="E177" s="197" t="s">
        <v>96</v>
      </c>
      <c r="F177" s="197" t="s">
        <v>97</v>
      </c>
      <c r="G177" s="197" t="s">
        <v>1335</v>
      </c>
    </row>
    <row r="178" spans="1:9" x14ac:dyDescent="0.3">
      <c r="A178" s="227" t="s">
        <v>1214</v>
      </c>
      <c r="B178" s="345" t="s">
        <v>1523</v>
      </c>
      <c r="C178" s="228">
        <v>129153</v>
      </c>
      <c r="D178" s="359">
        <v>2008</v>
      </c>
      <c r="E178" t="s">
        <v>96</v>
      </c>
      <c r="F178" t="s">
        <v>97</v>
      </c>
      <c r="G178" t="s">
        <v>1215</v>
      </c>
    </row>
    <row r="179" spans="1:9" x14ac:dyDescent="0.3">
      <c r="A179" s="227"/>
      <c r="B179" s="345"/>
      <c r="C179" s="228"/>
      <c r="D179" s="359"/>
    </row>
    <row r="180" spans="1:9" x14ac:dyDescent="0.3">
      <c r="A180" s="341" t="s">
        <v>1569</v>
      </c>
    </row>
    <row r="181" spans="1:9" x14ac:dyDescent="0.3">
      <c r="A181" s="326" t="s">
        <v>250</v>
      </c>
      <c r="B181" s="142" t="s">
        <v>1471</v>
      </c>
      <c r="D181" s="9">
        <v>2013</v>
      </c>
      <c r="E181" s="125" t="s">
        <v>96</v>
      </c>
      <c r="F181" s="125" t="s">
        <v>241</v>
      </c>
    </row>
    <row r="182" spans="1:9" x14ac:dyDescent="0.3">
      <c r="A182" s="326" t="s">
        <v>106</v>
      </c>
      <c r="B182" s="142" t="s">
        <v>1466</v>
      </c>
      <c r="C182" s="359">
        <v>122400</v>
      </c>
      <c r="D182">
        <v>2006</v>
      </c>
      <c r="E182" t="s">
        <v>77</v>
      </c>
      <c r="F182" t="s">
        <v>107</v>
      </c>
    </row>
    <row r="183" spans="1:9" x14ac:dyDescent="0.3">
      <c r="A183" s="326" t="s">
        <v>104</v>
      </c>
      <c r="B183" s="143" t="s">
        <v>1476</v>
      </c>
      <c r="C183" s="359">
        <v>71298</v>
      </c>
      <c r="D183">
        <v>2010</v>
      </c>
      <c r="E183" t="s">
        <v>49</v>
      </c>
      <c r="F183" t="s">
        <v>52</v>
      </c>
    </row>
    <row r="184" spans="1:9" x14ac:dyDescent="0.3">
      <c r="A184" s="381" t="s">
        <v>190</v>
      </c>
      <c r="B184" s="143" t="s">
        <v>1477</v>
      </c>
      <c r="C184" s="359">
        <v>81182</v>
      </c>
      <c r="D184">
        <v>2008</v>
      </c>
      <c r="E184" t="s">
        <v>49</v>
      </c>
      <c r="F184" t="s">
        <v>52</v>
      </c>
      <c r="G184" t="s">
        <v>1187</v>
      </c>
      <c r="I184" t="s">
        <v>1477</v>
      </c>
    </row>
    <row r="185" spans="1:9" x14ac:dyDescent="0.3">
      <c r="A185" s="326" t="s">
        <v>118</v>
      </c>
      <c r="B185" s="5" t="s">
        <v>1478</v>
      </c>
      <c r="C185" s="359">
        <v>71350</v>
      </c>
      <c r="D185">
        <v>2008</v>
      </c>
      <c r="E185" t="s">
        <v>49</v>
      </c>
      <c r="F185" t="s">
        <v>119</v>
      </c>
    </row>
    <row r="186" spans="1:9" x14ac:dyDescent="0.3">
      <c r="A186" s="326" t="s">
        <v>120</v>
      </c>
      <c r="B186" s="5" t="s">
        <v>1479</v>
      </c>
      <c r="C186" s="359">
        <v>115162</v>
      </c>
      <c r="D186">
        <v>2013</v>
      </c>
      <c r="E186" t="s">
        <v>49</v>
      </c>
      <c r="F186" t="s">
        <v>119</v>
      </c>
    </row>
    <row r="187" spans="1:9" x14ac:dyDescent="0.3">
      <c r="A187" s="382" t="s">
        <v>144</v>
      </c>
      <c r="B187" s="130" t="s">
        <v>1471</v>
      </c>
      <c r="C187" s="359">
        <v>117673</v>
      </c>
      <c r="D187">
        <v>2012</v>
      </c>
      <c r="E187" t="s">
        <v>49</v>
      </c>
      <c r="F187" t="s">
        <v>119</v>
      </c>
    </row>
    <row r="188" spans="1:9" x14ac:dyDescent="0.3">
      <c r="A188" s="326" t="s">
        <v>232</v>
      </c>
      <c r="B188" s="5" t="s">
        <v>1523</v>
      </c>
      <c r="C188" s="359">
        <v>94034</v>
      </c>
      <c r="D188">
        <v>2008</v>
      </c>
      <c r="E188" t="s">
        <v>49</v>
      </c>
      <c r="F188" t="s">
        <v>119</v>
      </c>
    </row>
    <row r="189" spans="1:9" x14ac:dyDescent="0.3">
      <c r="A189" s="326" t="s">
        <v>99</v>
      </c>
      <c r="B189" s="5" t="s">
        <v>1482</v>
      </c>
      <c r="C189" s="359">
        <v>143994</v>
      </c>
      <c r="D189">
        <v>2008</v>
      </c>
      <c r="E189" t="s">
        <v>96</v>
      </c>
      <c r="F189" t="s">
        <v>100</v>
      </c>
    </row>
    <row r="190" spans="1:9" x14ac:dyDescent="0.3">
      <c r="A190" s="326" t="s">
        <v>243</v>
      </c>
      <c r="B190" s="143" t="s">
        <v>1484</v>
      </c>
      <c r="C190" s="359">
        <v>136661</v>
      </c>
      <c r="D190">
        <v>2008</v>
      </c>
      <c r="E190" t="s">
        <v>96</v>
      </c>
      <c r="F190" t="s">
        <v>97</v>
      </c>
      <c r="G190" t="s">
        <v>1187</v>
      </c>
      <c r="H190" t="s">
        <v>1589</v>
      </c>
    </row>
    <row r="191" spans="1:9" x14ac:dyDescent="0.3">
      <c r="A191" s="381" t="s">
        <v>253</v>
      </c>
      <c r="B191" s="142" t="s">
        <v>1469</v>
      </c>
      <c r="C191" s="359">
        <v>106905</v>
      </c>
      <c r="D191">
        <v>2012</v>
      </c>
      <c r="E191" t="s">
        <v>16</v>
      </c>
      <c r="F191" t="s">
        <v>41</v>
      </c>
      <c r="G191" t="s">
        <v>1608</v>
      </c>
      <c r="I191" t="s">
        <v>1469</v>
      </c>
    </row>
    <row r="192" spans="1:9" x14ac:dyDescent="0.3">
      <c r="A192" s="326" t="s">
        <v>215</v>
      </c>
      <c r="B192" s="142" t="s">
        <v>1468</v>
      </c>
      <c r="C192" s="359">
        <v>111135</v>
      </c>
      <c r="D192">
        <v>2012</v>
      </c>
      <c r="E192" t="s">
        <v>16</v>
      </c>
      <c r="F192" t="s">
        <v>41</v>
      </c>
    </row>
    <row r="193" spans="1:9" x14ac:dyDescent="0.3">
      <c r="A193" s="173" t="s">
        <v>1208</v>
      </c>
      <c r="B193" s="154" t="s">
        <v>1550</v>
      </c>
      <c r="C193" s="228">
        <v>113923</v>
      </c>
      <c r="D193">
        <v>2013</v>
      </c>
      <c r="E193" t="s">
        <v>1209</v>
      </c>
      <c r="F193" t="s">
        <v>1210</v>
      </c>
      <c r="G193" t="s">
        <v>1187</v>
      </c>
    </row>
    <row r="194" spans="1:9" x14ac:dyDescent="0.3">
      <c r="A194" s="384" t="s">
        <v>1334</v>
      </c>
      <c r="B194" s="345" t="s">
        <v>1523</v>
      </c>
      <c r="C194" s="228">
        <v>141051</v>
      </c>
      <c r="D194" s="354">
        <v>2011</v>
      </c>
      <c r="E194" s="12" t="s">
        <v>96</v>
      </c>
      <c r="F194" s="12" t="s">
        <v>97</v>
      </c>
      <c r="G194" s="12" t="s">
        <v>1335</v>
      </c>
      <c r="I194" t="s">
        <v>1471</v>
      </c>
    </row>
    <row r="195" spans="1:9" x14ac:dyDescent="0.3">
      <c r="A195" s="383" t="s">
        <v>1301</v>
      </c>
      <c r="B195" s="343" t="s">
        <v>1551</v>
      </c>
      <c r="C195" s="228">
        <v>114617</v>
      </c>
      <c r="D195" s="354">
        <v>2009</v>
      </c>
      <c r="E195" s="12" t="s">
        <v>201</v>
      </c>
      <c r="F195" s="12" t="s">
        <v>1302</v>
      </c>
      <c r="G195" s="12" t="s">
        <v>1187</v>
      </c>
      <c r="I195" t="s">
        <v>1551</v>
      </c>
    </row>
    <row r="196" spans="1:9" x14ac:dyDescent="0.3">
      <c r="A196" s="385" t="s">
        <v>1306</v>
      </c>
      <c r="B196" s="344" t="s">
        <v>1523</v>
      </c>
      <c r="C196" s="228">
        <v>115637</v>
      </c>
      <c r="D196" s="355">
        <v>2008</v>
      </c>
      <c r="E196" s="12" t="s">
        <v>1181</v>
      </c>
      <c r="F196" s="12" t="s">
        <v>1307</v>
      </c>
      <c r="G196" s="12" t="s">
        <v>1215</v>
      </c>
    </row>
    <row r="197" spans="1:9" x14ac:dyDescent="0.3">
      <c r="A197" s="386"/>
      <c r="B197" s="344"/>
      <c r="C197" s="228"/>
      <c r="D197" s="355"/>
      <c r="E197" s="12"/>
      <c r="F197" s="12"/>
      <c r="G197" s="12"/>
    </row>
    <row r="198" spans="1:9" x14ac:dyDescent="0.3">
      <c r="A198" s="386"/>
      <c r="B198" s="344"/>
      <c r="C198" s="228"/>
      <c r="D198" s="355"/>
      <c r="E198" s="12"/>
      <c r="F198" s="12"/>
      <c r="G198" s="12"/>
    </row>
    <row r="199" spans="1:9" x14ac:dyDescent="0.3">
      <c r="A199" s="341" t="s">
        <v>857</v>
      </c>
    </row>
    <row r="200" spans="1:9" x14ac:dyDescent="0.3">
      <c r="A200" s="26" t="s">
        <v>263</v>
      </c>
      <c r="B200" s="25" t="s">
        <v>1471</v>
      </c>
      <c r="C200" s="361">
        <v>115934</v>
      </c>
      <c r="D200" s="190">
        <v>2006</v>
      </c>
      <c r="E200" s="125" t="s">
        <v>162</v>
      </c>
      <c r="F200" s="125" t="s">
        <v>264</v>
      </c>
      <c r="G200" t="s">
        <v>1594</v>
      </c>
      <c r="H200" t="s">
        <v>1595</v>
      </c>
      <c r="I200" t="s">
        <v>1471</v>
      </c>
    </row>
    <row r="201" spans="1:9" x14ac:dyDescent="0.3">
      <c r="A201" s="320" t="s">
        <v>1133</v>
      </c>
      <c r="B201" s="146" t="s">
        <v>1471</v>
      </c>
      <c r="C201" s="362">
        <v>102030</v>
      </c>
      <c r="D201" s="114" t="s">
        <v>278</v>
      </c>
      <c r="E201" s="114" t="s">
        <v>96</v>
      </c>
      <c r="F201" s="114" t="s">
        <v>241</v>
      </c>
      <c r="G201" t="s">
        <v>1187</v>
      </c>
      <c r="H201" t="s">
        <v>1596</v>
      </c>
      <c r="I201" t="s">
        <v>1471</v>
      </c>
    </row>
    <row r="202" spans="1:9" x14ac:dyDescent="0.3">
      <c r="A202" s="36" t="s">
        <v>233</v>
      </c>
      <c r="B202" s="5" t="s">
        <v>1486</v>
      </c>
      <c r="C202" s="363">
        <v>103310</v>
      </c>
      <c r="D202" s="190">
        <v>2013</v>
      </c>
      <c r="E202" s="125" t="s">
        <v>16</v>
      </c>
      <c r="F202" s="125" t="s">
        <v>234</v>
      </c>
      <c r="G202" t="s">
        <v>1594</v>
      </c>
      <c r="I202" t="s">
        <v>1486</v>
      </c>
    </row>
    <row r="203" spans="1:9" x14ac:dyDescent="0.3">
      <c r="A203" s="374" t="s">
        <v>267</v>
      </c>
      <c r="B203" s="146" t="s">
        <v>1471</v>
      </c>
      <c r="C203" s="363">
        <v>155196</v>
      </c>
      <c r="D203" s="190">
        <v>2009</v>
      </c>
      <c r="E203" s="125" t="s">
        <v>96</v>
      </c>
      <c r="F203" s="125" t="s">
        <v>97</v>
      </c>
      <c r="G203" t="s">
        <v>1335</v>
      </c>
      <c r="I203" t="s">
        <v>1471</v>
      </c>
    </row>
    <row r="204" spans="1:9" x14ac:dyDescent="0.3">
      <c r="A204" s="377" t="s">
        <v>1321</v>
      </c>
      <c r="B204" s="12" t="s">
        <v>1523</v>
      </c>
      <c r="C204" s="228">
        <v>176000</v>
      </c>
      <c r="D204" s="115">
        <v>2009</v>
      </c>
      <c r="E204" s="12" t="s">
        <v>1317</v>
      </c>
      <c r="F204" s="12" t="s">
        <v>1320</v>
      </c>
      <c r="G204" s="12" t="s">
        <v>1187</v>
      </c>
      <c r="I204" t="s">
        <v>1605</v>
      </c>
    </row>
    <row r="205" spans="1:9" x14ac:dyDescent="0.3">
      <c r="A205" s="36" t="s">
        <v>199</v>
      </c>
      <c r="D205" s="190">
        <v>2011</v>
      </c>
      <c r="E205" s="5" t="s">
        <v>201</v>
      </c>
      <c r="F205" s="125" t="s">
        <v>202</v>
      </c>
      <c r="G205" s="112" t="s">
        <v>1352</v>
      </c>
      <c r="I205" t="s">
        <v>1471</v>
      </c>
    </row>
    <row r="206" spans="1:9" x14ac:dyDescent="0.3">
      <c r="A206" s="227" t="s">
        <v>1336</v>
      </c>
      <c r="B206" s="345" t="s">
        <v>1523</v>
      </c>
      <c r="C206" s="228">
        <v>113060</v>
      </c>
      <c r="D206" s="198">
        <v>2009</v>
      </c>
      <c r="E206" s="197" t="s">
        <v>96</v>
      </c>
      <c r="F206" s="197" t="s">
        <v>97</v>
      </c>
      <c r="G206" s="197" t="s">
        <v>1335</v>
      </c>
      <c r="I206" s="197" t="s">
        <v>1605</v>
      </c>
    </row>
    <row r="207" spans="1:9" x14ac:dyDescent="0.3">
      <c r="A207" s="376" t="s">
        <v>513</v>
      </c>
      <c r="B207" t="s">
        <v>1471</v>
      </c>
      <c r="C207" s="368">
        <v>143450</v>
      </c>
      <c r="D207" s="266">
        <v>2011</v>
      </c>
      <c r="E207" s="266" t="s">
        <v>96</v>
      </c>
      <c r="F207" s="266" t="s">
        <v>97</v>
      </c>
      <c r="G207" s="378" t="s">
        <v>1597</v>
      </c>
      <c r="I207" s="378" t="s">
        <v>1471</v>
      </c>
    </row>
    <row r="208" spans="1:9" x14ac:dyDescent="0.3">
      <c r="A208" s="270"/>
      <c r="C208" s="368"/>
      <c r="D208" s="123"/>
      <c r="E208" s="123"/>
      <c r="F208" s="123"/>
    </row>
    <row r="209" spans="1:9" x14ac:dyDescent="0.3">
      <c r="A209" s="341" t="s">
        <v>1571</v>
      </c>
      <c r="C209" s="359"/>
    </row>
    <row r="210" spans="1:9" x14ac:dyDescent="0.3">
      <c r="A210" s="365" t="s">
        <v>800</v>
      </c>
      <c r="B210" t="s">
        <v>1523</v>
      </c>
      <c r="C210" s="369">
        <v>22761</v>
      </c>
      <c r="D210" s="28" t="s">
        <v>508</v>
      </c>
      <c r="E210" s="28" t="s">
        <v>49</v>
      </c>
      <c r="F210" s="28" t="s">
        <v>801</v>
      </c>
    </row>
    <row r="211" spans="1:9" x14ac:dyDescent="0.3">
      <c r="A211" s="323" t="s">
        <v>833</v>
      </c>
      <c r="B211" t="s">
        <v>1523</v>
      </c>
      <c r="C211" s="370">
        <v>83798</v>
      </c>
      <c r="D211" s="37" t="s">
        <v>280</v>
      </c>
      <c r="E211" s="37" t="s">
        <v>96</v>
      </c>
      <c r="F211" s="37" t="s">
        <v>383</v>
      </c>
    </row>
    <row r="212" spans="1:9" x14ac:dyDescent="0.3">
      <c r="A212" s="366" t="s">
        <v>1433</v>
      </c>
      <c r="B212" s="248" t="s">
        <v>1523</v>
      </c>
      <c r="C212" s="108"/>
      <c r="D212" s="193" t="s">
        <v>287</v>
      </c>
      <c r="E212" s="193" t="s">
        <v>29</v>
      </c>
      <c r="F212" s="193" t="s">
        <v>189</v>
      </c>
    </row>
    <row r="213" spans="1:9" x14ac:dyDescent="0.3">
      <c r="A213" s="367" t="s">
        <v>1264</v>
      </c>
      <c r="B213" t="s">
        <v>1523</v>
      </c>
      <c r="C213" s="37"/>
      <c r="D213" s="193">
        <v>2015</v>
      </c>
      <c r="E213" s="182" t="s">
        <v>542</v>
      </c>
      <c r="F213" s="182" t="s">
        <v>763</v>
      </c>
    </row>
    <row r="215" spans="1:9" x14ac:dyDescent="0.3">
      <c r="A215" t="s">
        <v>1593</v>
      </c>
    </row>
    <row r="216" spans="1:9" x14ac:dyDescent="0.3">
      <c r="A216" s="375" t="s">
        <v>1347</v>
      </c>
      <c r="B216" s="345" t="s">
        <v>1523</v>
      </c>
      <c r="C216" s="228">
        <v>115937</v>
      </c>
      <c r="D216" s="115">
        <v>2014</v>
      </c>
      <c r="E216" s="12" t="s">
        <v>29</v>
      </c>
      <c r="F216" s="12" t="s">
        <v>1143</v>
      </c>
      <c r="G216" s="12" t="s">
        <v>1215</v>
      </c>
    </row>
    <row r="218" spans="1:9" x14ac:dyDescent="0.3">
      <c r="A218" s="341" t="s">
        <v>1592</v>
      </c>
    </row>
    <row r="219" spans="1:9" x14ac:dyDescent="0.3">
      <c r="A219" s="6" t="s">
        <v>255</v>
      </c>
      <c r="D219" s="9">
        <v>2009</v>
      </c>
      <c r="E219" s="125" t="s">
        <v>37</v>
      </c>
      <c r="F219" s="125" t="s">
        <v>56</v>
      </c>
      <c r="I219" t="s">
        <v>1480</v>
      </c>
    </row>
    <row r="220" spans="1:9" x14ac:dyDescent="0.3">
      <c r="A220" s="342" t="s">
        <v>135</v>
      </c>
      <c r="D220" s="9">
        <v>2012</v>
      </c>
      <c r="E220" s="125" t="s">
        <v>16</v>
      </c>
      <c r="F220" s="125" t="s">
        <v>41</v>
      </c>
      <c r="I220" s="143" t="s">
        <v>1485</v>
      </c>
    </row>
    <row r="221" spans="1:9" x14ac:dyDescent="0.3">
      <c r="A221" s="6" t="s">
        <v>23</v>
      </c>
      <c r="D221" s="9">
        <v>2010</v>
      </c>
      <c r="E221" s="5" t="s">
        <v>21</v>
      </c>
      <c r="F221" s="125" t="s">
        <v>25</v>
      </c>
      <c r="I221" t="s">
        <v>1474</v>
      </c>
    </row>
    <row r="222" spans="1:9" x14ac:dyDescent="0.3">
      <c r="A222" s="47" t="s">
        <v>515</v>
      </c>
      <c r="D222" s="266">
        <v>2006</v>
      </c>
      <c r="E222" s="266" t="s">
        <v>96</v>
      </c>
      <c r="F222" s="266" t="s">
        <v>422</v>
      </c>
      <c r="I222" t="s">
        <v>1471</v>
      </c>
    </row>
  </sheetData>
  <hyperlinks>
    <hyperlink ref="A102" r:id="rId1" display="https://www.ibcauto.com/vehicle/checklist?crypt=%5E%D2%D0%E5%98%E1%D1%CC%9E%C6%71%A0%95%93%6A%A3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6C0AFB0B-6E4B-4AD2-B774-1C46490A1F2A}"/>
    <hyperlink ref="A2" r:id="rId2" display="https://www.ibcauto.com/vehicle/checklist?crypt=%5E%D2%D0%E5%98%E1%D1%CC%9E%C6%71%A0%95%93%6D%9B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D52FD1EC-0B3B-4267-A6A5-6E9E8C68F63B}"/>
    <hyperlink ref="A3" r:id="rId3" display="https://www.ibcauto.com/vehicle/checklist?crypt=%5E%D2%D0%E5%98%E1%D1%CC%9E%C6%71%A0%95%93%67%A3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FE1259C9-942D-4B6A-B367-4F4D9011E1DB}"/>
    <hyperlink ref="A103" r:id="rId4" display="https://www.ibcauto.com/vehicle/checklist?crypt=%5E%D2%D0%E5%98%E1%D1%CC%9E%C6%71%A0%97%99%6E%A0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DFEEEA61-55E8-4628-B370-F71DA26BF53D}"/>
    <hyperlink ref="A4" r:id="rId5" display="https://www.ibcauto.com/vehicle/checklist?crypt=%5E%D2%D0%E5%98%E1%D1%CC%9E%C6%71%A0%97%9A%67%9C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CBB3C633-7699-45C4-B84A-D4BD34EAF0EE}"/>
    <hyperlink ref="A132" r:id="rId6" display="https://www.ibcauto.com/vehicle/checklist?crypt=%5E%D2%D0%E5%98%E1%D1%CC%9E%C6%71%A0%97%9A%6D%9D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6F5B9055-32B9-421F-A45A-8FEAC262D3A5}"/>
    <hyperlink ref="A5" r:id="rId7" display="https://www.ibcauto.com/vehicle/checklist?crypt=%5E%D2%D0%E5%98%E1%D1%CC%9E%C6%71%A0%97%9A%6C%A3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BBDE236D-DE30-4DE3-A119-C44DC5817882}"/>
    <hyperlink ref="A133" r:id="rId8" display="https://www.ibcauto.com/vehicle/checklist?crypt=%5E%D2%D0%E5%98%E1%D1%CC%9E%C6%71%A0%98%91%6A%A4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A98FE920-6603-4A34-8F37-860F639DBFD7}"/>
    <hyperlink ref="A6" r:id="rId9" display="https://www.ibcauto.com/vehicle/checklist?crypt=%5E%D2%D0%E5%98%E1%D1%CC%9E%C6%71%A0%97%9A%6E%9F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2AA61EEC-3068-4C03-9EFA-F76BB96DF667}"/>
    <hyperlink ref="A134" r:id="rId10" display="https://www.ibcauto.com/vehicle/checklist?crypt=%5E%D2%D0%E5%98%E1%D1%CC%9E%C6%71%9F%9D%96%6F%A4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B0AD821F-D718-4D0B-8CB2-32B778818CCC}"/>
    <hyperlink ref="A7" r:id="rId11" display="https://www.ibcauto.com/vehicle/checklist?crypt=%5E%D2%D0%E5%98%E1%D1%CC%9E%C6%71%A0%97%92%6D%A0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5DDCFBED-801C-494E-ABCE-C53A09368B66}"/>
    <hyperlink ref="A135" r:id="rId12" display="https://www.ibcauto.com/vehicle/checklist?crypt=%5E%D2%D0%E5%98%E1%D1%CC%9E%C6%71%A0%97%9A%6A%9F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147453AD-5476-4CC9-8043-EAE90E145C29}"/>
    <hyperlink ref="A136" r:id="rId13" display="https://www.ibcauto.com/vehicle/checklist?crypt=%5E%D2%D0%E5%98%E1%D1%CC%9E%C6%71%A0%97%9A%6E%A1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DFF16847-8023-4903-A918-A335BB0D78F7}"/>
    <hyperlink ref="A8" r:id="rId14" display="https://www.ibcauto.com/vehicle/checklist?crypt=%5E%D2%D0%E5%98%E1%D1%CC%9E%C6%71%A0%98%91%6B%A0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25ECC8E9-D796-4445-B258-601CC0E4150E}"/>
    <hyperlink ref="A137" r:id="rId15" display="https://www.ibcauto.com/vehicle/checklist?crypt=%5E%D2%D0%E5%98%E1%D1%CC%9E%C6%71%A0%98%92%6B%A2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67EC472C-8B3E-4981-80AA-1705A8FDD4F2}"/>
    <hyperlink ref="A9" r:id="rId16" display="https://www.ibcauto.com/vehicle/checklist?crypt=%5E%D2%D0%E5%98%E1%D1%CC%9E%C6%71%A0%98%91%6F%A2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CC9A04A6-203A-4580-B679-83052907D44B}"/>
    <hyperlink ref="A138" r:id="rId17" display="https://www.ibcauto.com/vehicle/checklist?crypt=%5E%D2%D0%E5%98%E1%D1%CC%9E%C6%71%A0%98%92%69%A3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12B42905-810C-4FD5-9007-E1F4D993A654}"/>
    <hyperlink ref="A104" r:id="rId18" display="https://www.ibcauto.com/vehicle/checklist?crypt=%5E%D2%D0%E5%98%E1%D1%CC%9E%C6%71%A0%9A%97%6B%9F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EDD4FD6A-CEE0-4DE1-88EF-D29DCBC57FAA}"/>
    <hyperlink ref="A82" r:id="rId19" display="https://www.ibcauto.com/vehicle/checklist?crypt=%5E%D2%D0%E5%98%E1%D1%CC%9E%C6%71%A0%9D%91%6B%9B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1D810FA0-6021-4561-829C-4BD975A8412E}"/>
    <hyperlink ref="A105" r:id="rId20" display="https://www.ibcauto.com/vehicle/checklist?crypt=%5E%D2%D0%E5%98%E1%D1%CC%9E%C6%71%A0%9C%92%6F%9C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82541DF8-2F91-4A6F-9F1B-C0F2CD77AFD4}"/>
    <hyperlink ref="A10" r:id="rId21" display="https://www.ibcauto.com/vehicle/checklist?crypt=%5E%D2%D0%E5%98%E1%D1%CC%9E%C6%71%A0%9C%9A%6F%9B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B4EAB0CE-3254-4B67-9F72-3B0AA8019EE6}"/>
    <hyperlink ref="A139" r:id="rId22" display="https://www.ibcauto.com/vehicle/checklist?crypt=%5E%D2%D0%E5%98%E1%D1%CC%9E%C6%71%A0%98%93%6F%9E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3EAC1A2B-6AC7-46A5-96E8-CACD5A479054}"/>
    <hyperlink ref="A140" r:id="rId23" display="https://www.ibcauto.com/vehicle/checklist?crypt=%5E%D2%D0%E5%98%E1%D1%CC%9E%C6%71%A0%9C%93%66%A0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C5C55BBB-AB44-444B-B649-0E8B17430FAE}"/>
    <hyperlink ref="A11" r:id="rId24" display="https://www.ibcauto.com/vehicle/checklist?crypt=%5E%D2%D0%E5%98%E1%D1%CC%9E%C6%71%A0%9D%91%6E%A3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6E580D71-F00B-4267-A9E6-1F71CB67F76F}"/>
    <hyperlink ref="A12" r:id="rId25" display="https://www.ibcauto.com/vehicle/checklist?crypt=%5E%D2%D0%E5%98%E1%D1%CC%9E%C6%71%A0%9C%9A%6A%9F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9FB07270-0072-449A-8BD4-23F5CDAAF203}"/>
    <hyperlink ref="A13" r:id="rId26" display="https://www.ibcauto.com/vehicle/checklist?crypt=%5E%D2%D0%E5%98%E1%D1%CC%9E%C6%71%A0%98%91%6B%A1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7BFE25E1-CC05-439F-BD5E-30BCC06F140E}"/>
    <hyperlink ref="A141" r:id="rId27" display="https://www.ibcauto.com/vehicle/checklist?crypt=%5E%D2%D0%E5%98%E1%D1%CC%9E%C6%71%A0%9D%91%6E%A4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9491F8A8-F305-47A5-BDC3-5CD0C352EA27}"/>
    <hyperlink ref="A106" r:id="rId28" display="https://www.ibcauto.com/vehicle/checklist?crypt=%5E%D2%D0%E5%98%E1%D1%CC%9E%C6%71%A0%98%92%6A%9F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EDD699D3-3159-4A6D-89C2-D8AAA8533CF7}"/>
    <hyperlink ref="A14" r:id="rId29" display="https://www.ibcauto.com/vehicle/checklist?crypt=%5E%D2%D0%E5%98%E1%D1%CC%9E%C6%71%A0%9C%9A%6E%A2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3FB409BE-18E1-432B-B6CD-5B4999694311}"/>
    <hyperlink ref="A107" r:id="rId30" display="https://www.ibcauto.com/vehicle/checklist?crypt=%5E%D2%D0%E5%98%E1%D1%CC%9E%C6%71%A0%98%94%66%A3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7007E34B-5E7B-417A-9E5D-4BBAAA454D73}"/>
    <hyperlink ref="A142" r:id="rId31" display="https://www.ibcauto.com/vehicle/checklist?crypt=%5E%D2%D0%E5%98%E1%D1%CC%9E%C6%71%A0%98%92%6F%A3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C7AA2064-6995-49A1-8E47-5F6FCAFDCC98}"/>
    <hyperlink ref="A15" r:id="rId32" display="https://www.ibcauto.com/vehicle/checklist?crypt=%5E%D2%D0%E5%98%E1%D1%CC%9E%C6%71%A0%9A%96%6C%9D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A066BA82-62B4-446C-92B8-6710FA9E26A8}"/>
    <hyperlink ref="A16" r:id="rId33" display="https://www.ibcauto.com/vehicle/checklist?crypt=%5E%D2%D0%E5%98%E1%D1%CC%9E%C6%71%A0%9A%93%6F%9C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5D24BF3E-4333-47FD-89F7-ECEF12B442BC}"/>
    <hyperlink ref="A143" r:id="rId34" display="https://www.ibcauto.com/vehicle/checklist?crypt=%5E%D2%D0%E5%98%E1%D1%CC%9E%C6%71%A0%9C%96%6A%A1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38281952-9424-466B-8E67-6A3B271437B7}"/>
    <hyperlink ref="A17" r:id="rId35" display="https://www.ibcauto.com/vehicle/checklist?crypt=%5E%D2%D0%E5%98%E1%D1%CC%9E%C6%71%A0%9B%99%67%A1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F34B21E7-27DE-49B1-A1F5-6C7B33B77ED5}"/>
    <hyperlink ref="A108" r:id="rId36" display="https://www.ibcauto.com/vehicle/checklist?crypt=%5E%D2%D0%E5%98%E1%D1%CC%9E%C6%71%A0%9D%92%6F%A4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FFAE705C-EF0E-4013-BB80-72AED203033A}"/>
    <hyperlink ref="A109" r:id="rId37" display="https://www.ibcauto.com/vehicle/checklist?crypt=%5E%D2%D0%E5%98%E1%D1%CC%9E%C6%71%A0%98%94%6A%A0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4763168A-F688-4D2F-8159-A353C4F7D6A5}"/>
    <hyperlink ref="A18" r:id="rId38" display="https://www.ibcauto.com/vehicle/checklist?crypt=%5E%D2%D0%E5%98%E1%D1%CC%9E%C6%71%A0%9D%91%6B%A4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F3D08575-B25F-494E-B9E1-1F7ACA43F34D}"/>
    <hyperlink ref="A19" r:id="rId39" display="https://www.ibcauto.com/vehicle/checklist?crypt=%5E%D2%D0%E5%98%E1%D1%CC%9E%C6%71%A0%9B%98%68%9C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20AD76A1-E9DE-4702-93F2-E03CAFA7D24E}"/>
    <hyperlink ref="A20" r:id="rId40" display="https://www.ibcauto.com/vehicle/checklist?crypt=%5E%D2%D0%E5%98%E1%D1%CC%9E%C6%71%A0%9B%98%6C%A4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EFD96692-ADC3-4145-BBFE-45AE3C737C86}"/>
    <hyperlink ref="A21" r:id="rId41" display="https://www.ibcauto.com/vehicle/checklist?crypt=%5E%D2%D0%E5%98%E1%D1%CC%9E%C6%71%A0%98%97%6D%A1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DDDEA45A-3154-47D4-BC55-6BB2EDFE5224}"/>
    <hyperlink ref="A110" r:id="rId42" display="https://www.ibcauto.com/vehicle/checklist?crypt=%5E%D2%D0%E5%98%E1%D1%CC%9E%C6%71%A0%9D%92%69%9B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D7708789-BE3F-4645-BBB7-67C608825706}"/>
    <hyperlink ref="A22" r:id="rId43" display="https://www.ibcauto.com/vehicle/checklist?crypt=%5E%D2%D0%E5%98%E1%D1%CC%9E%C6%71%A0%9D%93%6D%A1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E9B398A0-10E0-40AE-8E93-EBD0EADFE029}"/>
    <hyperlink ref="A144" r:id="rId44" display="https://www.ibcauto.com/vehicle/checklist?crypt=%5E%D2%D0%E5%98%E1%D1%CC%9E%C6%71%A0%9C%93%6C%9B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DD526E0E-0991-4C8C-9C08-3EF77B1917F5}"/>
    <hyperlink ref="A23" r:id="rId45" display="https://www.ibcauto.com/vehicle/checklist?crypt=%5E%D2%D0%E5%98%E1%D1%CC%9E%C6%71%A0%9C%94%6D%9C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678B7BFB-28A5-495C-A962-F58BC5A42572}"/>
    <hyperlink ref="A24" r:id="rId46" display="https://www.ibcauto.com/vehicle/checklist?crypt=%5E%D2%D0%E5%98%E1%D1%CC%9E%C6%71%A0%9C%95%6B%9D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133A369A-92A4-4201-8755-AB622D8FB408}"/>
    <hyperlink ref="A145" r:id="rId47" display="https://www.ibcauto.com/vehicle/checklist?crypt=%5E%D2%D0%E5%98%E1%D1%CC%9E%C6%71%A0%9D%92%6F%A4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F566C40E-3415-4669-B885-F09108908F28}"/>
    <hyperlink ref="A25" r:id="rId48" display="https://www.ibcauto.com/vehicle/checklist?crypt=%5E%D2%D0%E5%98%E1%D1%CC%9E%C6%71%A0%99%93%6C%9D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D40B511C-E6F2-462E-B1E8-6F2EE5BB5F0F}"/>
    <hyperlink ref="A146" r:id="rId49" display="https://www.ibcauto.com/vehicle/checklist?crypt=%5E%D2%D0%E5%98%E1%D1%CC%9E%C6%71%A0%98%92%67%9D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B4F6AB09-B10B-4C43-B0FA-506CDFEFAFC6}"/>
    <hyperlink ref="A147" r:id="rId50" display="https://www.ibcauto.com/vehicle/checklist?crypt=%5E%D2%D0%E5%98%E1%D1%CC%9E%C6%71%A0%9C%9A%69%A1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ADB09C2C-4C3C-4DF9-9765-AAFBEBA195CA}"/>
    <hyperlink ref="A26" r:id="rId51" display="https://www.ibcauto.com/vehicle/checklist?crypt=%5E%D2%D0%E5%98%E1%D1%CC%9E%C6%71%A0%9B%98%6C%A4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9B5C421B-5B89-42D5-9BDF-7B567E8312A7}"/>
    <hyperlink ref="A27" r:id="rId52" display="https://www.ibcauto.com/vehicle/checklist?crypt=%5E%D2%D0%E5%98%E1%D1%CC%9E%C6%71%A0%9D%91%67%A2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75547F4D-4F0E-45BE-AD84-E569478F388B}"/>
    <hyperlink ref="A148" r:id="rId53" display="https://www.ibcauto.com/vehicle/checklist?crypt=%5E%D2%D0%E5%98%E1%D1%CC%9E%C6%71%A0%9B%96%6E%A1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F3A79C99-CA23-46EE-9E34-7D6C5731C5E5}"/>
    <hyperlink ref="A28" r:id="rId54" display="https://www.ibcauto.com/vehicle/checklist?crypt=%5E%D2%D0%E5%98%E1%D1%CC%9E%C6%71%A0%9D%91%6B%9C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B15B4C48-B580-4AFE-A56B-9438784A68FA}"/>
    <hyperlink ref="A149" r:id="rId55" display="https://www.ibcauto.com/vehicle/checklist?crypt=%5E%D2%D0%E5%98%E1%D1%CC%9E%C6%71%A0%9B%97%6C%9B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6D23525A-25A6-4F51-81D5-3F1E1F6F0EE4}"/>
    <hyperlink ref="A150" r:id="rId56" display="https://www.ibcauto.com/vehicle/checklist?crypt=%5E%D2%D0%E5%98%E1%D1%CC%9E%C6%71%A0%98%93%6B%A1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21D6C809-EEE3-45DE-9C15-FA2CD697B0DB}"/>
    <hyperlink ref="A111" r:id="rId57" display="https://www.ibcauto.com/vehicle/checklist?crypt=%5E%D2%D0%E5%98%E1%D1%CC%9E%C6%71%A0%9D%98%6D%9F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4C41192E-65A5-4788-9824-EF094CCEA05C}"/>
    <hyperlink ref="A151" r:id="rId58" display="https://www.ibcauto.com/vehicle/checklist?crypt=%5E%D2%D0%E5%98%E1%D1%CC%9E%C6%71%A0%9D%94%6B%A3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11D31255-0C77-4E3F-BA02-FE3616D6D40B}"/>
    <hyperlink ref="A83" r:id="rId59" display="https://www.ibcauto.com/vehicle/checklist?crypt=%5E%D2%D0%E5%98%E1%D1%CC%9E%C6%71%A0%9A%93%6E%A2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553264D3-EDB6-4E37-A285-7930FD9CAEDC}"/>
    <hyperlink ref="A152" r:id="rId60" display="https://www.ibcauto.com/vehicle/checklist?crypt=%5E%D2%D0%E5%98%E1%D1%CC%9E%C6%71%A0%99%98%66%9E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37C6D175-8A16-4BBB-A183-3BB7D4DD1C7F}"/>
    <hyperlink ref="A153" r:id="rId61" display="https://www.ibcauto.com/vehicle/checklist?crypt=%5E%D2%D0%E5%98%E1%D1%CC%9E%C6%71%A0%9B%97%67%9D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2F128808-04BD-40AF-9D77-B15A77A9315B}"/>
    <hyperlink ref="A112" r:id="rId62" display="https://www.ibcauto.com/vehicle/checklist?crypt=%5E%D2%D0%E5%98%E1%D1%CC%9E%C6%71%A0%9C%98%67%A2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A69C01EE-37BE-4348-9B8E-F353071BE0E1}"/>
    <hyperlink ref="A29" r:id="rId63" display="https://www.ibcauto.com/vehicle/checklist?crypt=%5E%D2%D0%E5%98%E1%D1%CC%9E%C6%71%A0%9D%98%6E%A4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1D831834-04EE-40FA-BDBD-67108A281DA2}"/>
    <hyperlink ref="A30" r:id="rId64" display="https://www.ibcauto.com/vehicle/checklist?crypt=%5E%D2%D0%E5%98%E1%D1%CC%9E%C6%71%A0%9D%98%6E%A4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0639ADB3-68C7-4E04-8E5F-287582301F18}"/>
    <hyperlink ref="A84" r:id="rId65" display="https://www.ibcauto.com/vehicle/checklist?crypt=%5E%D2%D0%E5%98%E1%D1%CC%9E%C6%71%A1%94%91%6B%9E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45752D60-4CB4-4837-A6A7-49E0CEDD0DD6}"/>
    <hyperlink ref="A154" r:id="rId66" display="https://www.ibcauto.com/vehicle/checklist?crypt=%5E%D2%D0%E5%98%E1%D1%CC%9E%C6%71%A0%9B%94%6F%A3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4E2175E7-B348-4646-9055-F8ADAFE427D9}"/>
    <hyperlink ref="A155" r:id="rId67" display="https://www.ibcauto.com/vehicle/checklist?crypt=%5E%D2%D0%E5%98%E1%D1%CC%9E%C6%71%A0%9D%99%6A%9D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12CACCC7-AEE2-46C9-AF0F-3D3AA4B7B856}"/>
    <hyperlink ref="A85" r:id="rId68" display="https://www.ibcauto.com/vehicle/checklist?crypt=%5E%D2%D0%E5%98%E1%D1%CC%9E%C6%71%A0%9D%98%68%A0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A62D7915-5DDB-4412-A475-3AB33BEA49CA}"/>
    <hyperlink ref="A100" r:id="rId69" display="https://www.ibcauto.com/vehicle/checklist?crypt=%5E%D2%D0%E5%98%E1%D1%CC%9E%C6%71%A0%9D%99%6B%9E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2961DE2A-355C-48BC-8520-7F2B4EC0BA62}"/>
    <hyperlink ref="A31" r:id="rId70" display="https://www.ibcauto.com/vehicle/checklist?crypt=%5E%D2%D0%E5%98%E1%D1%CC%9E%C6%71%A1%94%92%6E%9B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EE85D352-463C-4957-9866-F955716886F2}"/>
    <hyperlink ref="A32" r:id="rId71" display="https://www.ibcauto.com/vehicle/checklist?crypt=%5E%D2%D0%E5%98%E1%D1%CC%9E%C6%71%A1%94%92%66%A0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BB09F854-3102-4FD6-8E7A-194BD9CCAFC3}"/>
    <hyperlink ref="A33" r:id="rId72" display="https://www.ibcauto.com/vehicle/checklist?crypt=%5E%D2%D0%E5%98%E1%D1%CC%9E%C6%71%A1%94%92%69%9B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86827CEF-1F7B-44EF-86B5-C717FE680F18}"/>
    <hyperlink ref="A113" r:id="rId73" display="https://www.ibcauto.com/vehicle/checklist?crypt=%5E%D2%D0%E5%98%E1%D1%CC%9E%C6%71%A0%9D%92%67%A3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DEA8A89D-3A16-4155-A2E0-FB83C65E78B3}"/>
    <hyperlink ref="A86" r:id="rId74" display="https://www.ibcauto.com/vehicle/checklist?crypt=%5E%D2%D0%E5%98%E1%D1%CC%9E%C6%71%A0%9D%91%67%A2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26E38AB2-5E8C-4F89-AD61-B18050AF7B76}"/>
    <hyperlink ref="A87" r:id="rId75" display="https://www.ibcauto.com/vehicle/checklist?crypt=%5E%D2%D0%E5%98%E1%D1%CC%9E%C6%71%A0%9D%98%6F%9B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7B91B9A4-42FA-417B-8A9C-D1ABA5815D2D}"/>
    <hyperlink ref="A34" r:id="rId76" display="https://www.ibcauto.com/vehicle/checklist?crypt=%5E%D2%D0%E5%98%E1%D1%CC%9E%C6%71%A0%9C%98%68%A2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2EB1D511-F5DC-4899-A630-1D85E4BE9B1E}"/>
    <hyperlink ref="A156" r:id="rId77" display="https://www.ibcauto.com/vehicle/checklist?crypt=%5E%D2%D0%E5%98%E1%D1%CC%9E%C6%71%A0%9D%9A%67%9E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DC934054-25A7-4B7D-9BDA-9FB36727698A}"/>
    <hyperlink ref="A157" r:id="rId78" display="https://www.ibcauto.com/vehicle/checklist?crypt=%5E%D2%D0%E5%98%E1%D1%CC%9E%C6%71%A0%9C%95%68%9C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E544F733-F8E8-4449-8E35-4996782179F3}"/>
    <hyperlink ref="A35" r:id="rId79" display="https://www.ibcauto.com/vehicle/checklist?crypt=%5E%D2%D0%E5%98%E1%D1%CC%9E%C6%71%A0%9C%94%6B%9B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BC29278B-3D29-4FCF-9E6E-80C78FA959AA}"/>
    <hyperlink ref="A36" r:id="rId80" display="https://www.ibcauto.com/vehicle/checklist?crypt=%5E%D2%D0%E5%98%E1%D1%CC%9E%C6%71%A0%9C%96%69%A4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3FAC5D84-A127-411D-A89D-2578C0AE9441}"/>
    <hyperlink ref="A114" r:id="rId81" display="https://www.ibcauto.com/vehicle/checklist?crypt=%5E%D2%D0%E5%98%E1%D1%CC%9E%C6%71%A1%94%91%66%A1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D53FA2BD-E1D9-4EAE-9718-B464C7D13694}"/>
    <hyperlink ref="A115" r:id="rId82" display="https://www.ibcauto.com/vehicle/checklist?crypt=%5E%D2%D0%E5%98%E1%D1%CC%9E%C6%71%A0%9D%93%6C%A0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F2039107-2ABA-4BB5-8C0F-6D3D13C17E08}"/>
    <hyperlink ref="A38" r:id="rId83" display="https://www.ibcauto.com/vehicle/checklist?crypt=%5E%D2%D0%E5%98%E1%D1%CC%9E%C6%71%A0%97%99%6F%A4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5D3693A5-DA06-4B91-A72D-D0807DEC228B}"/>
    <hyperlink ref="A116" r:id="rId84" display="https://www.ibcauto.com/vehicle/checklist?crypt=%5E%D2%D0%E5%98%E1%D1%CC%9E%C6%71%A0%9D%93%69%9D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3E3D30E1-F3D3-44A7-B23F-D2044CB0D8B9}"/>
    <hyperlink ref="A39" r:id="rId85" display="https://www.ibcauto.com/vehicle/checklist?crypt=%5E%D2%D0%E5%98%E1%D1%CC%9E%C6%71%A0%9D%94%6D%9E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4AFCBD86-AD22-4CD6-85DF-2AE474A3A01A}"/>
    <hyperlink ref="A117" r:id="rId86" display="https://www.ibcauto.com/vehicle/checklist?crypt=%5E%D2%D0%E5%98%E1%D1%CC%9E%C6%71%A0%9D%98%68%9F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30640FAD-3F3B-47AF-B918-CD13FED87120}"/>
    <hyperlink ref="A40" r:id="rId87" display="https://www.ibcauto.com/vehicle/checklist?crypt=%5E%D2%D0%E5%98%E1%D1%CC%9E%C6%71%A1%94%92%6D%A4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7CA092CA-9383-476E-9A6B-7E7C3B45B2F4}"/>
    <hyperlink ref="A41" r:id="rId88" display="https://www.ibcauto.com/vehicle/checklist?crypt=%5E%D2%D0%E5%98%E1%D1%CC%9E%C6%71%A1%94%95%69%A3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53F8AC58-5A04-4EFC-AA82-AECA70381A5B}"/>
    <hyperlink ref="A118" r:id="rId89" display="https://www.ibcauto.com/vehicle/checklist?crypt=%5E%D2%D0%E5%98%E1%D1%CC%9E%C6%71%9F%9B%92%6D%A2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C8D63DAC-0B6A-4089-A357-EBE121248377}"/>
    <hyperlink ref="A42" r:id="rId90" display="https://www.ibcauto.com/vehicle/checklist?crypt=%5E%D2%D0%E5%98%E1%D1%CC%9E%C6%71%A0%9B%99%66%9B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F099BDE3-015B-41E3-8CCB-948DF9EF8FE0}"/>
    <hyperlink ref="A43" r:id="rId91" display="https://www.ibcauto.com/vehicle/checklist?crypt=%5E%D2%D0%E5%98%E1%D1%CC%9E%C6%71%A0%9D%9A%6D%A1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BC19F2A3-E4ED-46F5-A9FF-B27144129F20}"/>
    <hyperlink ref="A44" r:id="rId92" display="https://www.ibcauto.com/vehicle/checklist?crypt=%5E%D2%D0%E5%98%E1%D1%CC%9E%C6%71%A1%94%93%6B%9F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F9FA5C3E-DCD5-4457-A341-E0DC2B9C5D76}"/>
    <hyperlink ref="A119" r:id="rId93" display="https://www.ibcauto.com/vehicle/checklist?crypt=%5E%D2%D0%E5%98%E1%D1%CC%9E%C6%71%A0%9D%98%68%A0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2142B284-BB67-4265-8F4B-9D9068307A58}"/>
    <hyperlink ref="A158" r:id="rId94" display="https://www.ibcauto.com/vehicle/checklist?crypt=%5E%D2%D0%E5%98%E1%D1%CC%9E%C6%71%A0%9D%9A%6A%A2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C7274CB8-3C57-4E09-B6D6-6FCF949ABFB9}"/>
    <hyperlink ref="A120" r:id="rId95" display="https://www.ibcauto.com/vehicle/checklist?crypt=%5E%D2%D0%E5%98%E1%D1%CC%9E%C6%71%A1%94%91%6B%A2%6B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9EBD3C6F-86CB-47ED-A2A3-448724D9D8E7}"/>
    <hyperlink ref="A88" r:id="rId96" display="https://www.ibcauto.com/vehicle/checklist?crypt=%5E%D2%D0%E5%98%E1%D1%CC%9E%C6%71%A1%94%92%6C%9E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5C2D34E6-CE1F-43FD-B400-196578F62F52}"/>
    <hyperlink ref="A46" r:id="rId97" display="https://www.ibcauto.com/vehicle/checklist?crypt=%5E%D2%D0%E5%98%E1%D1%CC%9E%C6%71%A0%9D%95%6A%9F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100F56BE-A9ED-4557-AE07-B07279A72EA9}"/>
    <hyperlink ref="A47" r:id="rId98" display="https://www.ibcauto.com/vehicle/checklist?crypt=%5E%D2%D0%E5%98%E1%D1%CC%9E%C6%71%A1%94%91%6B%A2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1479CC97-439A-4311-AB55-191FBF93A9D8}"/>
    <hyperlink ref="A48" r:id="rId99" display="https://www.ibcauto.com/vehicle/checklist?crypt=%5E%D2%D0%E5%98%E1%D1%CC%9E%C6%71%A0%9D%93%6A%9C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C0F8656B-322E-4204-A6D4-C3602D2B3725}"/>
    <hyperlink ref="A89" r:id="rId100" display="https://www.ibcauto.com/vehicle/checklist?crypt=%5E%D2%D0%E5%98%E1%D1%CC%9E%C6%71%A1%94%92%67%A4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428824ED-A47B-4FD0-B0D3-061C17CB0272}"/>
    <hyperlink ref="A159" r:id="rId101" display="https://www.ibcauto.com/vehicle/checklist?crypt=%5E%D2%D0%E5%98%E1%D1%CC%9E%C6%71%A1%94%92%67%A3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2C51EF52-721E-4603-8794-ED17CD5F97A4}"/>
    <hyperlink ref="A91" r:id="rId102" display="https://www.ibcauto.com/vehicle/checklist?crypt=%5E%D2%D0%E5%98%E1%D1%CC%9E%C6%71%A1%94%92%6F%9B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EB509E25-BC28-4497-85A0-B3B4A947B0C3}"/>
    <hyperlink ref="A92" r:id="rId103" display="https://www.ibcauto.com/vehicle/checklist?crypt=%5E%D2%D0%E5%98%E1%D1%CC%9E%C6%71%A1%94%93%6D%9F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2E589FA8-E515-4422-B846-366BE325DB7F}"/>
    <hyperlink ref="A93" r:id="rId104" display="https://www.ibcauto.com/vehicle/checklist?crypt=%5E%D2%D0%E5%98%E1%D1%CC%9E%C6%71%A1%94%92%6E%A0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68FB8334-8F9E-4097-AFB4-3BFF2936C2E1}"/>
    <hyperlink ref="A121" r:id="rId105" display="https://www.ibcauto.com/vehicle/checklist?crypt=%5E%D2%D0%E5%98%E1%D1%CC%9E%C6%71%A1%94%93%66%A3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AC4B64B0-751C-4F2E-8DEB-A8796386F42D}"/>
    <hyperlink ref="A49" r:id="rId106" display="https://www.ibcauto.com/vehicle/checklist?crypt=%5E%D2%D0%E5%98%E1%D1%CC%9E%C6%71%A1%94%92%6F%9C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8C0E1276-B74C-4589-8206-FFFD7F3BD2FA}"/>
    <hyperlink ref="A94" r:id="rId107" display="https://www.ibcauto.com/vehicle/checklist?crypt=%5E%D2%D0%E5%98%E1%D1%CC%9E%C6%71%A1%94%92%6B%9B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C7C8AB16-1D00-42DD-A769-2A0CEF755C8D}"/>
    <hyperlink ref="A122" r:id="rId108" display="https://www.ibcauto.com/vehicle/checklist?crypt=%5E%D2%D0%E5%98%E1%D1%CC%9E%C6%71%A1%94%92%6F%9F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B38141DA-54A9-4F13-8624-9798CDE2D05C}"/>
    <hyperlink ref="A160" r:id="rId109" display="https://www.ibcauto.com/vehicle/checklist?crypt=%5E%D2%D0%E5%98%E1%D1%CC%9E%C6%71%A1%94%93%6D%9B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DF94A3B8-22F8-46B5-B73A-7246EF9BF5DF}"/>
    <hyperlink ref="A123" r:id="rId110" display="https://www.ibcauto.com/vehicle/checklist?crypt=%5E%D2%D0%E5%98%E1%D1%CC%9E%C6%71%A1%94%92%6A%9F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C2AC3B76-558C-4291-BD0D-C63EB7455C23}"/>
    <hyperlink ref="A50" r:id="rId111" display="https://www.ibcauto.com/vehicle/checklist?crypt=%5E%D2%D0%E5%98%E1%D1%CC%9E%C6%71%A1%94%93%6C%A3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4EB1F9C0-9A1A-4159-ABEC-459ED94C800D}"/>
    <hyperlink ref="A51" r:id="rId112" display="https://www.ibcauto.com/vehicle/checklist?crypt=%5E%D2%D0%E5%98%E1%D1%CC%9E%C6%71%A1%94%92%67%A3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BC4AA6E1-8528-4E13-BA16-3E251E5B834E}"/>
    <hyperlink ref="A124" r:id="rId113" display="https://www.ibcauto.com/vehicle/checklist?crypt=%5E%D2%D0%E5%98%E1%D1%CC%9E%C6%71%A1%94%93%6D%A4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575078E1-AC87-4C07-9685-8009C6E05744}"/>
    <hyperlink ref="A52" r:id="rId114" display="https://www.ibcauto.com/vehicle/checklist?crypt=%5E%D2%D0%E5%98%E1%D1%CC%9E%C6%71%A1%94%91%6E%A2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EB57554F-CF7C-43E2-89B6-A3DFEFC703F5}"/>
    <hyperlink ref="A95" r:id="rId115" display="https://www.ibcauto.com/vehicle/checklist?crypt=%5E%D2%D0%E5%98%E1%D1%CC%9E%C6%71%A0%9A%98%6E%A2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2D61B20E-EF04-4EFF-A02E-45B42B80287E}"/>
    <hyperlink ref="A125" r:id="rId116" display="https://www.ibcauto.com/vehicle/checklist?crypt=%5E%D2%D0%E5%98%E1%D1%CC%9E%C6%71%A0%9D%92%68%A4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33D5BC49-E01B-45A0-B0A2-D34A53F3FD9E}"/>
    <hyperlink ref="A161" r:id="rId117" display="https://www.ibcauto.com/vehicle/checklist?crypt=%5E%D2%D0%E5%98%E1%D1%CC%9E%C6%71%A0%9D%99%66%A2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221DF07A-DCEA-4486-95CF-45DDD5AD120F}"/>
    <hyperlink ref="A53" r:id="rId118" display="https://www.ibcauto.com/vehicle/checklist?crypt=%5E%D2%D0%E5%98%E1%D1%CC%9E%C6%71%A1%94%91%6B%9F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091190CE-052D-45B2-8D4A-FD97D6AB5E71}"/>
    <hyperlink ref="A54" r:id="rId119" display="https://www.ibcauto.com/vehicle/checklist?crypt=%5E%D2%D0%E5%98%E1%D1%CC%9E%C6%71%A1%94%91%6D%9B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BFA90043-20B6-4742-90C5-C36094369787}"/>
    <hyperlink ref="A96" r:id="rId120" display="https://www.ibcauto.com/vehicle/checklist?crypt=%5E%D2%D0%E5%98%E1%D1%CC%9E%C6%71%A1%94%92%69%9D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4EC1E5C8-E78F-456A-97ED-148C58464370}"/>
    <hyperlink ref="A55" r:id="rId121" display="https://www.ibcauto.com/vehicle/checklist?crypt=%5E%D2%D0%E5%98%E1%D1%CC%9E%C6%71%A0%9D%93%67%A2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A0959AC6-F728-48A4-B590-2372D02C7FBD}"/>
    <hyperlink ref="A97" r:id="rId122" display="https://www.ibcauto.com/vehicle/checklist?crypt=%5E%D2%D0%E5%98%E1%D1%CC%9E%C6%71%A0%9D%99%68%A2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D633E7C3-B7E8-43CE-BF25-94EF81EAB5DE}"/>
    <hyperlink ref="A162" r:id="rId123" display="https://www.ibcauto.com/vehicle/checklist?crypt=%5E%D2%D0%E5%98%E1%D1%CC%9E%C6%71%A0%98%93%6D%A1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B5F329D2-6854-4E76-ACA1-E707BD0F40CB}"/>
    <hyperlink ref="A56" r:id="rId124" display="http://checklist.ibcjapan.net/checklist?crypt=%5E%D2%D0%E5%98%E1%D1%CC%9E%C6%71%A1%94%95%6D%A4%6F%99%D7%9C%9C%DA%E2%AA%D7%9F%97%A5%A8%9C%6D%A2%9A%A4%68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xr:uid="{FC3DCB45-685C-40B3-8FBD-2F97B3F432BE}"/>
    <hyperlink ref="A98" r:id="rId125" display="http://checklist.ibcjapan.net/checklist?crypt=%5E%D2%D0%E5%98%E1%D1%CC%9E%C6%71%A1%94%93%67%9D%6A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xr:uid="{4D8691BB-3F58-451D-A878-A3EA85DED3AB}"/>
    <hyperlink ref="A57" r:id="rId126" display="http://checklist.ibcjapan.net/checklist?crypt=%5E%D2%D0%E5%98%E1%D1%CC%9E%C6%71%A1%94%92%6B%9E%6D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xr:uid="{8992E8E2-2BE6-406D-A925-453C91191301}"/>
    <hyperlink ref="A58" r:id="rId127" display="http://checklist.ibcjapan.net/checklist?crypt=%5E%D2%D0%E5%98%E1%D1%CC%9E%C6%71%A1%94%96%6D%9F%6A%99%D7%9C%9C%DA%E2%AA%D7%9F%97%A5%A8%9C%6C%A4%98%9D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xr:uid="{1A0A62A5-08A3-48FF-B5AB-867C4D19643D}"/>
    <hyperlink ref="A59" r:id="rId128" display="http://checklist.ibcjapan.net/checklist?crypt=%5E%D2%D0%E5%98%E1%D1%CC%9E%C6%71%A1%94%95%6A%9E%6B%99%D7%9C%9C%DA%E2%AA%D7%9F%97%A5%A8%9C%6C%A4%98%9D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xr:uid="{D565611A-8B03-4ED3-A706-8307280A6151}"/>
    <hyperlink ref="A60" r:id="rId129" display="http://checklist.ibcjapan.net/checklist?crypt=%5E%D2%D0%E5%98%E1%D1%CC%9E%C6%71%A1%94%96%67%9F%6A%99%D7%9C%9C%DA%E2%AA%D7%9F%97%A5%A8%9C%6D%A2%9A%A4%68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xr:uid="{D83E4CB7-F4C1-4C27-AABA-276BB5E35FA7}"/>
    <hyperlink ref="A61" r:id="rId130" display="http://checklist.ibcjapan.net/checklist?crypt=%5E%D2%D0%E5%98%E1%D1%CC%9E%C6%71%A1%94%95%6A%9B%67%99%D7%9C%9C%DA%E2%AA%D7%9F%97%A5%A8%9C%6C%A4%98%9D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xr:uid="{02955362-4F51-47D1-A9B6-FB9436FDEE74}"/>
    <hyperlink ref="A62" r:id="rId131" display="http://checklist.ibcjapan.net/checklist?crypt=%5E%D2%D0%E5%98%E1%D1%CC%9E%C6%71%A1%94%92%67%A2%69%99%D7%9C%9C%DA%E2%AA%D7%9F%97%A5%A8%9C%6C%A4%98%9D%67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xr:uid="{58D6D50A-2E9B-4C5E-8F91-24837E91707E}"/>
    <hyperlink ref="A63" r:id="rId132" display="http://checklist.ibcjapan.net/checklist?crypt=%5E%D2%D0%E5%98%E1%D1%CC%9E%C6%71%A1%94%95%6A%9F%69%99%D7%9C%9C%DA%E2%AA%D7%9F%97%A5%A8%9C%6E%A0%96%A0%6C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xr:uid="{7863F443-0ABF-4AD8-B44C-F802A9FA0F51}"/>
    <hyperlink ref="A126" r:id="rId133" display="http://checklist.ibcjapan.net/checklist?crypt=%5E%D2%D0%E5%98%E1%D1%CC%9E%C6%71%A0%98%94%66%9E%6E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xr:uid="{E5F2271F-D818-4566-8AA3-5BCA4A48CEAB}"/>
    <hyperlink ref="A64" r:id="rId134" display="http://checklist.ibcjapan.net/checklist?crypt=%5E%D2%D0%E5%98%E1%D1%CC%9E%C6%71%A1%94%96%6D%9F%6B%99%D7%9C%9C%DA%E2%AA%D7%9F%97%A5%A8%9C%6D%A2%9A%A4%68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xr:uid="{8CF1006D-3A2F-4DA8-8967-15A85CFB111F}"/>
    <hyperlink ref="A99" r:id="rId135" display="http://checklist.ibcjapan.net/checklist?crypt=%5E%D2%D0%E5%98%E1%D1%CC%9E%C6%71%A0%98%94%6F%A0%69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xr:uid="{AF34C8C7-F155-4081-A7DA-F4358F70E87D}"/>
    <hyperlink ref="A127" r:id="rId136" display="http://checklist.ibcjapan.net/checklist?crypt=%5E%D2%D0%E5%98%E1%D1%CC%9E%C6%71%A0%9A%96%6A%9E%6A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xr:uid="{494BC7AA-44CF-4D03-8C42-475757A7B905}"/>
    <hyperlink ref="A65" r:id="rId137" display="http://checklist.ibcjapan.net/checklist?crypt=%5E%D2%D0%E5%98%E1%D1%CC%9E%C6%71%A0%98%94%69%9B%6E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xr:uid="{6C5659A7-414E-4477-9045-3D935D2DF274}"/>
    <hyperlink ref="A128" r:id="rId138" display="http://checklist.ibcjapan.net/checklist?crypt=%5E%D2%D0%E5%98%E1%D1%CC%9E%C6%71%A0%9D%93%67%A1%6D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xr:uid="{870E83F2-92BA-4304-A17F-12886AE36577}"/>
    <hyperlink ref="A129" r:id="rId139" display="http://checklist.ibcjapan.net/checklist?crypt=%5E%D2%D0%E5%98%E1%D1%CC%9E%C6%71%A0%9D%93%67%A1%68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xr:uid="{BD9D00C3-D17A-4541-AA12-A153B9D9921E}"/>
    <hyperlink ref="A66" r:id="rId140" display="http://checklist.ibcjapan.net/checklist?crypt=%5E%D2%D0%E5%98%E1%D1%CC%9E%C6%71%A0%9D%92%6D%9C%6E%99%D7%9C%9C%DA%E2%AA%D7%9F%97%A5%A8%9C%6D%A7%9E%9E%70%91%E2%DC%AC%CA%75%D7%9B%CF%92%DE%DB%92%DC%A8%A5%6F%92%99%A4%DF%E3%CD%CF%96%D7%D8%D8%A9%66%95%A7%DA%A7%CF%D5%73%A4%90%D8%9C%CD%DA%E9%D7%B5%9F%59%7E%B8%B9%B4%76%DD%AB%C5%A3%D5%C6%E9%87%9C%D3%D4%E7%D4%D5%B0%A9%CA%D3%CF%C4%A1%DA%99%A0%A1%CA%E6%E4%9D%A5%E6%A8%D2%98%9A%AB%9D%DC%A5%A1%5F%D1%AA%D1%D4%D9%76%EB%DE%A6%5A%BF%A8%D2%E1%8B%D2%D6%A2%A4%A4%75%CD%E0%A7%DB" xr:uid="{939FB8DA-D880-45D8-8BEA-0FF5F703E240}"/>
    <hyperlink ref="A67" r:id="rId141" display="https://www.ibcauto.com/vehicle/checklist?crypt=%5E%D2%D0%E5%98%E1%D1%CC%9E%C6%71%9F%9C%94%6C%9E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DC74FC6E-0162-4BBA-B3F2-E696597D9D24}"/>
    <hyperlink ref="A163" r:id="rId142" display="https://www.ibcauto.com/vehicle/checklist?crypt=%5E%D2%D0%E5%98%E1%D1%CC%9E%C6%71%9F%9C%96%6C%A3%69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55D38A28-9E09-4E76-9620-5AA933242A72}"/>
    <hyperlink ref="A164" r:id="rId143" display="https://www.ibcauto.com/vehicle/checklist?crypt=%5E%D2%D0%E5%98%E1%D1%CC%9E%C6%71%9F%9D%99%69%A2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2A49DA6D-D701-479F-ACDE-0505ECFD1357}"/>
    <hyperlink ref="A131" r:id="rId144" display="https://www.ibcauto.com/vehicle/checklist?crypt=%5E%D2%D0%E5%98%E1%D1%CC%9E%C6%71%9F%9D%97%6E%A1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6E981665-AFC4-49F9-AB54-6F18052D7D8C}"/>
    <hyperlink ref="A165" r:id="rId145" display="https://www.ibcauto.com/vehicle/checklist?crypt=%5E%D2%D0%E5%98%E1%D1%CC%9E%C6%71%9F%9D%95%6E%9D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3ABACC3A-4CD6-436B-AA10-3D396FAEB7A0}"/>
    <hyperlink ref="A68" r:id="rId146" display="https://www.ibcauto.com/vehicle/checklist?crypt=%5E%D2%D0%E5%98%E1%D1%CC%9E%C6%71%9F%9D%96%6D%9E%6C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A682F253-7586-4B1D-9075-6BDC6667AE01}"/>
    <hyperlink ref="A130" r:id="rId147" display="https://www.ibcauto.com/vehicle/checklist?crypt=%5E%D2%D0%E5%98%E1%D1%CC%9E%C6%71%9F%9D%97%6C%A4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9A624AEF-1121-4E51-91D5-1DD71303A532}"/>
    <hyperlink ref="A166" r:id="rId148" display="https://www.ibcauto.com/vehicle/checklist?crypt=%5E%D2%D0%E5%98%E1%D1%CC%9E%C6%71%9F%9C%95%6C%9F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C7DDFF76-87FE-48E9-9214-A77B9C2D2AA9}"/>
    <hyperlink ref="A69" r:id="rId149" display="https://www.ibcauto.com/vehicle/checklist?crypt=%5E%D2%D0%E5%98%E1%D1%CC%9E%C6%71%9F%9A%94%69%9C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DB3840B4-ECD6-47E1-8C32-90529F7E43AD}"/>
    <hyperlink ref="A70" r:id="rId150" display="https://www.ibcauto.com/vehicle/checklist?crypt=%5E%D2%D0%E5%98%E1%D1%CC%9E%C6%71%9F%94%93%6B%9E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5413EBFD-277D-4B81-AE85-13D9DABB36F4}"/>
    <hyperlink ref="A71" r:id="rId151" display="https://www.ibcauto.com/vehicle/checklist?crypt=%5E%D2%D0%E5%98%E1%D1%CC%9E%C6%71%9F%94%97%67%9C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A097A49F-8DE3-4393-9651-FA5B25AEDE2D}"/>
    <hyperlink ref="A72" r:id="rId152" display="https://www.ibcauto.com/vehicle/checklist?crypt=%5E%D2%D0%E5%98%E1%D1%CC%9E%C6%71%9F%96%95%6B%9E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D8655879-CE14-4A23-B833-81A74968F027}"/>
    <hyperlink ref="A73" r:id="rId153" display="https://www.ibcauto.com/vehicle/checklist?crypt=%5E%D2%D0%E5%98%E1%D1%CC%9E%C6%71%9F%97%94%69%A0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B8C62B5E-74F6-4D79-812A-D70A5B1CF283}"/>
    <hyperlink ref="A74" r:id="rId154" display="https://www.ibcauto.com/vehicle/checklist?crypt=%5E%D2%D0%E5%98%E1%D1%CC%9E%C6%71%9F%9C%93%68%A1%68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38E3E7E0-F130-4550-A593-8B70FB17B00D}"/>
    <hyperlink ref="A75" r:id="rId155" display="https://www.ibcauto.com/vehicle/checklist?crypt=%5E%D2%D0%E5%98%E1%D1%CC%9E%C6%71%9F%9C%91%6F%9B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CAEE64C4-4FF7-4F29-9F10-7E4DAED69543}"/>
    <hyperlink ref="A76" r:id="rId156" display="https://www.ibcauto.com/vehicle/checklist?crypt=%5E%D2%D0%E5%98%E1%D1%CC%9E%C6%71%9F%98%94%69%9C%6E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8667B5C5-0363-4C7E-86DC-A875DA68A113}"/>
    <hyperlink ref="A77" r:id="rId157" display="https://www.ibcauto.com/vehicle/checklist?crypt=%5E%D2%D0%E5%98%E1%D1%CC%9E%C6%71%A0%95%92%67%9D%6D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28522710-305B-4052-BB93-852FE90E312F}"/>
    <hyperlink ref="A78" r:id="rId158" display="https://www.ibcauto.com/vehicle/checklist?crypt=%5E%D2%D0%E5%98%E1%D1%CC%9E%C6%71%A0%98%91%66%9E%6A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D4B7B6EB-1BE0-4309-AB1F-9D1C318DCB33}"/>
    <hyperlink ref="A79" r:id="rId159" display="https://www.ibcauto.com/vehicle/checklist?crypt=%5E%D2%D0%E5%98%E1%D1%CC%9E%C6%71%A0%98%91%69%9C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B2B20658-DD1E-4972-95EF-A46E314ABFD2}"/>
    <hyperlink ref="A167" r:id="rId160" display="https://www.ibcauto.com/vehicle/checklist?crypt=%5E%D2%D0%E5%98%E1%D1%CC%9E%C6%71%A0%98%92%66%9E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7A5322B3-10C7-4B11-A265-1D3285B862D9}"/>
    <hyperlink ref="A80" r:id="rId161" display="https://www.ibcauto.com/vehicle/checklist?crypt=%5E%D2%D0%E5%98%E1%D1%CC%9E%C6%71%A0%98%93%69%9C%6F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0B28FB60-4BC1-4CE2-AC20-11465FAE073A}"/>
    <hyperlink ref="A81" r:id="rId162" display="https://www.ibcauto.com/vehicle/checklist?crypt=%5E%D2%D0%E5%98%E1%D1%CC%9E%C6%71%A0%97%9A%67%9B%67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C2511F2C-5864-455B-912C-C1BAB80D0B21}"/>
    <hyperlink ref="A168" r:id="rId163" display="https://www.ibcauto.com/vehicle/checklist?crypt=%5E%D2%D0%E5%98%E1%D1%CC%9E%C6%71%A0%9B%97%67%9F%70%99%E1%A1%AD%CA%AC%9F%CA%95%58%A6%DF%C5%AA%E3%D9%A9%68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xr:uid="{FF03847B-DC0E-4C42-A0D0-923B2323D2F3}"/>
    <hyperlink ref="A178" r:id="rId164" xr:uid="{A339B8E7-A58C-43B1-9C44-A7A8263F6C0E}"/>
    <hyperlink ref="A177" r:id="rId165" xr:uid="{CA18682F-DC4C-413E-A3A1-7C5FA8C5C442}"/>
    <hyperlink ref="A194" r:id="rId166" xr:uid="{1C81B9F2-B4A5-441D-A008-72826F61B5AC}"/>
    <hyperlink ref="A176" r:id="rId167" xr:uid="{FD89EBBB-8135-43FE-ADCB-B39E4237F00A}"/>
    <hyperlink ref="A175" r:id="rId168" xr:uid="{8D42F40B-CF35-4AE3-83DD-0081AD7BEE89}"/>
    <hyperlink ref="A174" r:id="rId169" xr:uid="{2F8D28DE-D7CA-43CF-8F79-C4BC1BAA8123}"/>
    <hyperlink ref="A196" r:id="rId170" xr:uid="{A239A01C-C685-4AC4-A444-CED642CE3B27}"/>
    <hyperlink ref="A195" r:id="rId171" xr:uid="{3792286B-2497-4DC1-AAD7-8BED4CE65B88}"/>
    <hyperlink ref="A183" r:id="rId172" xr:uid="{242D373F-486D-48F5-8E1B-8366F9D58704}"/>
    <hyperlink ref="A182" r:id="rId173" xr:uid="{1C01936E-AA2A-4ACE-8BD9-6E0BC729AE4F}"/>
    <hyperlink ref="A185" r:id="rId174" xr:uid="{72D555F6-85D1-49D9-9F68-B57307CBEF3B}"/>
    <hyperlink ref="A186" r:id="rId175" xr:uid="{6ED32ED1-6535-4B97-AA3E-BB8F7FC08265}"/>
    <hyperlink ref="A184" r:id="rId176" xr:uid="{DF7DD78A-2C0F-4DD1-B614-D854D1454ADD}"/>
    <hyperlink ref="A192" r:id="rId177" xr:uid="{59ADE58C-9786-4C26-88B0-6A6133A0A7DB}"/>
    <hyperlink ref="A188" r:id="rId178" xr:uid="{8932BFA6-8932-463B-AA9B-6DD912498EB2}"/>
    <hyperlink ref="A187" r:id="rId179" xr:uid="{2596FF04-1197-45EF-A181-1E9DB58E65F2}"/>
    <hyperlink ref="A190" r:id="rId180" xr:uid="{B5C668F8-2F40-400C-9DD9-C5F19C07C042}"/>
    <hyperlink ref="A191" r:id="rId181" xr:uid="{09DA8E6C-96A9-4605-999F-8F8EBB36736D}"/>
    <hyperlink ref="A189" r:id="rId182" xr:uid="{F68F5C0F-6E49-436E-BCC2-BC3F5ED9CF43}"/>
    <hyperlink ref="A181" r:id="rId183" xr:uid="{61CA4B94-5C8F-492B-909A-74183F099417}"/>
    <hyperlink ref="A202" r:id="rId184" xr:uid="{B324E51B-BB3D-4E78-9C6B-AF07389BEED1}"/>
    <hyperlink ref="A200" r:id="rId185" xr:uid="{BFF6EA3B-930E-4235-9C17-93968EA80BA4}"/>
    <hyperlink ref="A203" r:id="rId186" xr:uid="{F308A6ED-B3F5-454F-B3B1-A941524314A2}"/>
    <hyperlink ref="A201" r:id="rId187" xr:uid="{17C6AC1E-66CE-4FDA-AE46-C6345884DE7C}"/>
    <hyperlink ref="A206" r:id="rId188" xr:uid="{4645FFDA-82CE-40BF-B3A9-86D5574F4B86}"/>
    <hyperlink ref="A216" r:id="rId189" xr:uid="{BF65470F-3F45-4FCB-98C2-BB622C7ABD31}"/>
    <hyperlink ref="A207" r:id="rId190" xr:uid="{BD9C2E37-92C3-4CB8-A9E1-AA323035475A}"/>
    <hyperlink ref="A210" r:id="rId191" xr:uid="{4DFD475D-2905-4C1E-8854-B79112644591}"/>
    <hyperlink ref="A211" r:id="rId192" xr:uid="{1A65C38B-933D-43DF-8564-B763C5FCAC0B}"/>
    <hyperlink ref="A212" r:id="rId193" xr:uid="{F3E7CCB3-90FB-4E88-952E-A800A3F2D28E}"/>
    <hyperlink ref="A219" r:id="rId194" xr:uid="{2C9987C1-3711-4636-945A-2424AFCAB41B}"/>
    <hyperlink ref="A220" r:id="rId195" display="https://apc01.safelinks.protection.outlook.com/?url=https%3A%2F%2Fwww.ibcauto.com%2Fvehicle%2Fchecklist%3Fcrypt%3D%255E%25D2%25D0%25E5%2598%25E1%25D1%25CC%259E%25C6q%25A0%2599%2593l%259D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D2%25EB%25D7%259F%2599%25DF%25A7%25CA%25A1%25CE%259C%25CF%25A4%25D3%25D4%25EB%25AF%257D%25C1%25C2%25EC%25CB%25E8%25A0%25DB%25CF%25E4%25D4%25C6%259E%25E9%255C%2597%25A1%25CF%25DC%25DE%25DA%25A1%25E6%259A%25D4%2596%25AB%259D%25A1%25D1%25D0%25E5v%2591%255E%25D8%25D8%25CE%25A7%25E6%25B6%25AC%2599%25EC%255C%25A9%25E6%25A8%25DA%25B8%2598%25A2%259F%25AA%25ED%25AB%2586%25E8%25EA%25CB&amp;data=05%7C01%7CGKeatley%40ibcauto.com%7C00dc02846d8e4acf214808daad483d0e%7Cd487dbeeb3df4578a1be2d368870f520%7C0%7C0%7C638012823057467719%7CUnknown%7CTWFpbGZsb3d8eyJWIjoiMC4wLjAwMDAiLCJQIjoiV2luMzIiLCJBTiI6Ik1haWwiLCJXVCI6Mn0%3D%7C3000%7C%7C%7C&amp;sdata=lrEXfuTkBBnyW2dypN9Gb2vZg5xQAyZxkL%2FA8dE1Kp0%3D&amp;reserved=0" xr:uid="{38D19B95-AD3F-4321-92B2-3ABE96E27C7D}"/>
    <hyperlink ref="A221" r:id="rId196" xr:uid="{26F6BD04-681C-4B5A-A32D-0C01075B53D6}"/>
    <hyperlink ref="A222" r:id="rId197" xr:uid="{417FA89C-730D-45A4-ADF7-B35195A0169A}"/>
  </hyperlinks>
  <pageMargins left="0.7" right="0.7" top="0.75" bottom="0.75" header="0.3" footer="0.3"/>
  <pageSetup paperSize="9" orientation="portrait" horizontalDpi="4294967293" verticalDpi="0" r:id="rId19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WS-North</vt:lpstr>
      <vt:lpstr>WS-South</vt:lpstr>
      <vt:lpstr>KAP-Cancelled</vt:lpstr>
      <vt:lpstr>ATNZ Vehicles</vt:lpstr>
      <vt:lpstr>WSN-Bid Price</vt:lpstr>
      <vt:lpstr>'KAP-Cancelled'!Print_Area</vt:lpstr>
      <vt:lpstr>'WS-North'!Print_Area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Manuel Jr. Fabriga</cp:lastModifiedBy>
  <cp:lastPrinted>2022-10-04T22:08:49Z</cp:lastPrinted>
  <dcterms:created xsi:type="dcterms:W3CDTF">2022-07-29T03:09:25Z</dcterms:created>
  <dcterms:modified xsi:type="dcterms:W3CDTF">2022-11-06T22:54:46Z</dcterms:modified>
</cp:coreProperties>
</file>